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ial_Aid_Grants\MEGHAN &amp; SHAWN\SG Calc &amp; Transcript Review Spreadsheets\"/>
    </mc:Choice>
  </mc:AlternateContent>
  <xr:revisionPtr revIDLastSave="0" documentId="13_ncr:1_{975EF09B-1761-4797-AC68-96CB460F786E}" xr6:coauthVersionLast="36" xr6:coauthVersionMax="36" xr10:uidLastSave="{00000000-0000-0000-0000-000000000000}"/>
  <bookViews>
    <workbookView xWindow="0" yWindow="0" windowWidth="15360" windowHeight="9108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B18" i="1" l="1"/>
  <c r="B17" i="1"/>
  <c r="B19" i="1" l="1"/>
  <c r="D19" i="1" s="1"/>
  <c r="V15" i="1" l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Y14" i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X14" i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W14" i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U14" i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T14" i="1" l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I25" i="1"/>
  <c r="T28" i="1" l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J12" i="1"/>
  <c r="J11" i="1"/>
  <c r="J10" i="1"/>
  <c r="J9" i="1"/>
  <c r="D18" i="1" l="1"/>
  <c r="D17" i="1"/>
  <c r="B40" i="1"/>
  <c r="B37" i="1"/>
  <c r="B26" i="1"/>
  <c r="I15" i="1" s="1"/>
  <c r="P36" i="1"/>
  <c r="P33" i="1"/>
  <c r="P37" i="1" l="1"/>
  <c r="I26" i="1" s="1"/>
  <c r="D20" i="1"/>
  <c r="K9" i="1"/>
  <c r="K12" i="1"/>
  <c r="K11" i="1"/>
  <c r="I27" i="1" s="1"/>
  <c r="K10" i="1"/>
  <c r="I17" i="1"/>
  <c r="I21" i="1"/>
  <c r="I19" i="1" l="1"/>
  <c r="I23" i="1" s="1"/>
  <c r="I24" i="1" s="1"/>
  <c r="I28" i="1" l="1"/>
  <c r="I29" i="1" s="1"/>
</calcChain>
</file>

<file path=xl/sharedStrings.xml><?xml version="1.0" encoding="utf-8"?>
<sst xmlns="http://schemas.openxmlformats.org/spreadsheetml/2006/main" count="1324" uniqueCount="250">
  <si>
    <t xml:space="preserve"> </t>
  </si>
  <si>
    <t>Student Name:</t>
  </si>
  <si>
    <t>SS#:</t>
  </si>
  <si>
    <t>STUDENT DATA</t>
  </si>
  <si>
    <t>(School enters data in blue fields)</t>
  </si>
  <si>
    <t>CALCULATED VALUES</t>
  </si>
  <si>
    <t>100% of 9-Month Annual Federal Methodology EFC</t>
  </si>
  <si>
    <t>Federal Pell Grant Award Data</t>
  </si>
  <si>
    <t>Enrollment Level</t>
  </si>
  <si>
    <t>Annual Awd</t>
  </si>
  <si>
    <t>Term Awd</t>
  </si>
  <si>
    <t>PT</t>
  </si>
  <si>
    <t>100% of 9-Month Annual Federal Methodology Parent Contribution</t>
  </si>
  <si>
    <t>HT</t>
  </si>
  <si>
    <t>3Q</t>
  </si>
  <si>
    <t>EFC</t>
  </si>
  <si>
    <t>Full-time</t>
  </si>
  <si>
    <t>3/4 time</t>
  </si>
  <si>
    <t>1/2 time</t>
  </si>
  <si>
    <t>&lt;1/2 time</t>
  </si>
  <si>
    <t>FT</t>
  </si>
  <si>
    <t>Proration Multiplier for Enrollment Level/LME</t>
  </si>
  <si>
    <t>Enrollment Multiplier Table</t>
  </si>
  <si>
    <t>X Credits</t>
  </si>
  <si>
    <t>Term Tuition and Fee Maximum Prorated for Enrollment Level</t>
  </si>
  <si>
    <t>School 1</t>
  </si>
  <si>
    <t>School 2</t>
  </si>
  <si>
    <t>Term Tuition and Fees Used in the Award Calculation</t>
  </si>
  <si>
    <t>School 1 Credits</t>
  </si>
  <si>
    <t>School 2 Credits</t>
  </si>
  <si>
    <t>Total Credits</t>
  </si>
  <si>
    <t>State Grant Term Budget</t>
  </si>
  <si>
    <t>-</t>
  </si>
  <si>
    <t>Term Parent Contribution</t>
  </si>
  <si>
    <t>INSTITUTIONAL PARAMETERS</t>
  </si>
  <si>
    <t>Term Independent Student Contribution</t>
  </si>
  <si>
    <t/>
  </si>
  <si>
    <t>School Term Type</t>
  </si>
  <si>
    <t>=</t>
  </si>
  <si>
    <t>Initial Calculation Result</t>
  </si>
  <si>
    <t>Minimum Award Table</t>
  </si>
  <si>
    <t>FT Term Living and Misc Expense Allowance (LME) for Your School</t>
  </si>
  <si>
    <t>Independent Student Contribution</t>
  </si>
  <si>
    <t>Type of Student</t>
  </si>
  <si>
    <t>D = Dependent student</t>
  </si>
  <si>
    <t>N=Independent Student without Dependents</t>
  </si>
  <si>
    <t>Y=Independent with Dependents</t>
  </si>
  <si>
    <t>Term LME Prorated for Enrollment Level</t>
  </si>
  <si>
    <t>Student Share for Term</t>
  </si>
  <si>
    <t>Pell Grant for Term</t>
  </si>
  <si>
    <t>(adjusted for minimum award of</t>
  </si>
  <si>
    <t>$50 per semester; $33 per quarter)</t>
  </si>
  <si>
    <t>Term T&amp;F</t>
  </si>
  <si>
    <t>Qtr or 3 Payment Periods (Enter 3); Semester or 2 Payment Periods (Enter 2)</t>
  </si>
  <si>
    <t>Student's Program is 2 Years of Less (Enter 2); 4 Year Degree (Enter 4)</t>
  </si>
  <si>
    <t>(Total must not exceed 15 credits)</t>
  </si>
  <si>
    <t>School 3</t>
  </si>
  <si>
    <t>School 3 Credits</t>
  </si>
  <si>
    <t>School Code</t>
  </si>
  <si>
    <t>School Name</t>
  </si>
  <si>
    <t>Term Type</t>
  </si>
  <si>
    <t>Per</t>
  </si>
  <si>
    <t>Tuition &amp; Fees</t>
  </si>
  <si>
    <t>Credit</t>
  </si>
  <si>
    <t>Per Credit T&amp;F From Chart at Right (Column AF)</t>
  </si>
  <si>
    <t>*Sectors = U of M, MnSCU, 4-Year Private, 2-Year Private</t>
  </si>
  <si>
    <t>State Grant Term Award</t>
  </si>
  <si>
    <t>For use when student attending two schools from different sectors* during same term</t>
  </si>
  <si>
    <t>School enters data in all blue fields</t>
  </si>
  <si>
    <t>ACADEMY COLLEGE</t>
  </si>
  <si>
    <t>BETHEL UNIVERSITY</t>
  </si>
  <si>
    <t>CARLETON COLLEGE</t>
  </si>
  <si>
    <t>CENTRAL LAKES COLLEGE</t>
  </si>
  <si>
    <t>CENTURY COLLEGE</t>
  </si>
  <si>
    <t>COLLEGE OF ST BENEDICT</t>
  </si>
  <si>
    <t>COLLEGE OF ST SCHOLASTICA</t>
  </si>
  <si>
    <t>CROWN COLLEGE</t>
  </si>
  <si>
    <t>HAMLINE UNIVERSITY</t>
  </si>
  <si>
    <t>HASTINGS BEAUTY SCHOOL</t>
  </si>
  <si>
    <t>HERZING UNIVERSITY</t>
  </si>
  <si>
    <t>LAKE SUPERIOR COLLEGE</t>
  </si>
  <si>
    <t>LEECH LAKE TRIBAL COLLEGE</t>
  </si>
  <si>
    <t>MARTIN LUTHER COLLEGE</t>
  </si>
  <si>
    <t>NORTH CENTRAL UNIVERSITY</t>
  </si>
  <si>
    <t>RIDGEWATER COLLEGE</t>
  </si>
  <si>
    <t>SOUTH CENTRAL COLLEGE</t>
  </si>
  <si>
    <t>ST JOHN'S UNIVERSITY</t>
  </si>
  <si>
    <t>ST OLAF COLLEGE</t>
  </si>
  <si>
    <t>SUMMIT ACADEMY OIC</t>
  </si>
  <si>
    <t>UNIVERSITY OF ST THOMAS</t>
  </si>
  <si>
    <t>013505</t>
  </si>
  <si>
    <t>005544</t>
  </si>
  <si>
    <t>007350</t>
  </si>
  <si>
    <t>002332</t>
  </si>
  <si>
    <t>002334</t>
  </si>
  <si>
    <t>041605</t>
  </si>
  <si>
    <t>014847</t>
  </si>
  <si>
    <t>002336</t>
  </si>
  <si>
    <t>002337</t>
  </si>
  <si>
    <t>002338</t>
  </si>
  <si>
    <t>002340</t>
  </si>
  <si>
    <t>002339</t>
  </si>
  <si>
    <t>010546</t>
  </si>
  <si>
    <t>002341</t>
  </si>
  <si>
    <t>002343</t>
  </si>
  <si>
    <t>002346</t>
  </si>
  <si>
    <t>002347</t>
  </si>
  <si>
    <t>002383</t>
  </si>
  <si>
    <t>010402</t>
  </si>
  <si>
    <t>004641</t>
  </si>
  <si>
    <t>031291</t>
  </si>
  <si>
    <t>002353</t>
  </si>
  <si>
    <t>002354</t>
  </si>
  <si>
    <t>013591</t>
  </si>
  <si>
    <t>010491</t>
  </si>
  <si>
    <t>009621</t>
  </si>
  <si>
    <t>002355</t>
  </si>
  <si>
    <t>041302</t>
  </si>
  <si>
    <t>006935</t>
  </si>
  <si>
    <t>005757</t>
  </si>
  <si>
    <t>030964</t>
  </si>
  <si>
    <t>002358</t>
  </si>
  <si>
    <t>002361</t>
  </si>
  <si>
    <t>010374</t>
  </si>
  <si>
    <t>002365</t>
  </si>
  <si>
    <t>002362</t>
  </si>
  <si>
    <t>025831</t>
  </si>
  <si>
    <t>F00077</t>
  </si>
  <si>
    <t>015752</t>
  </si>
  <si>
    <t>002393</t>
  </si>
  <si>
    <t>005541</t>
  </si>
  <si>
    <t>002360</t>
  </si>
  <si>
    <t>002367</t>
  </si>
  <si>
    <t>005263</t>
  </si>
  <si>
    <t>009831</t>
  </si>
  <si>
    <t>007954</t>
  </si>
  <si>
    <t>002369</t>
  </si>
  <si>
    <t>002370</t>
  </si>
  <si>
    <t>002385</t>
  </si>
  <si>
    <t>005759</t>
  </si>
  <si>
    <t>012328</t>
  </si>
  <si>
    <t>041576</t>
  </si>
  <si>
    <t>016116</t>
  </si>
  <si>
    <t>005535</t>
  </si>
  <si>
    <t>008694</t>
  </si>
  <si>
    <t>005252</t>
  </si>
  <si>
    <t>002335</t>
  </si>
  <si>
    <t>002373</t>
  </si>
  <si>
    <t>005533</t>
  </si>
  <si>
    <t>005537</t>
  </si>
  <si>
    <t>002375</t>
  </si>
  <si>
    <t>002342</t>
  </si>
  <si>
    <t>002377</t>
  </si>
  <si>
    <t>005534</t>
  </si>
  <si>
    <t>002379</t>
  </si>
  <si>
    <t>002380</t>
  </si>
  <si>
    <t>002382</t>
  </si>
  <si>
    <t>015950</t>
  </si>
  <si>
    <t>004069</t>
  </si>
  <si>
    <t>002388</t>
  </si>
  <si>
    <t>002389</t>
  </si>
  <si>
    <t>003969</t>
  </si>
  <si>
    <t>002371</t>
  </si>
  <si>
    <t>002345</t>
  </si>
  <si>
    <t>039214</t>
  </si>
  <si>
    <t>002394</t>
  </si>
  <si>
    <t>S</t>
  </si>
  <si>
    <t>Q</t>
  </si>
  <si>
    <t>ALEXANDRIA TECH &amp; CC</t>
  </si>
  <si>
    <t>ANOKA TECH COLLEGE</t>
  </si>
  <si>
    <t>ANOKA-RAMSEY CC</t>
  </si>
  <si>
    <t>AVALON SCH OF COSM</t>
  </si>
  <si>
    <t>AVEDA INSTITUTE</t>
  </si>
  <si>
    <t>BEMIDJI STATE UNIV</t>
  </si>
  <si>
    <t>BETHANY LUTHERAN</t>
  </si>
  <si>
    <t>CONCORDIA UNIVERSITY</t>
  </si>
  <si>
    <t>CONCORDIA-MOORHEAD</t>
  </si>
  <si>
    <t>DAKOTA COUNTY TC</t>
  </si>
  <si>
    <t>DUNWOODY COLLEGE OF TECH</t>
  </si>
  <si>
    <t>FOND DU LAC CC</t>
  </si>
  <si>
    <t>GUSTAVUS ADOLPHUS</t>
  </si>
  <si>
    <t>HENNEPIN TECH COLL</t>
  </si>
  <si>
    <t>INST OF PROD &amp; RECORDING</t>
  </si>
  <si>
    <t>INVER HILLS CC</t>
  </si>
  <si>
    <t>MACALESTER</t>
  </si>
  <si>
    <t>METRO STATE UNIVERSITY</t>
  </si>
  <si>
    <t>MN SCH BARBER</t>
  </si>
  <si>
    <t>MN SCH COSMETOLOGY</t>
  </si>
  <si>
    <t>MN SCHOOL OF BEAUTY</t>
  </si>
  <si>
    <t>MN STATE COLLEGE-SE TECH</t>
  </si>
  <si>
    <t>MN STATE COMM &amp; TECH</t>
  </si>
  <si>
    <t>MN STATE UNIV, MANKATO</t>
  </si>
  <si>
    <t>MN STATE UNIV-MOORHEAD</t>
  </si>
  <si>
    <t>MN WEST COMM/TECH</t>
  </si>
  <si>
    <t>MODEL COLLEGE HAIR</t>
  </si>
  <si>
    <t>MPLS COLL OF ART &amp; DESIGN</t>
  </si>
  <si>
    <t>MPLS COM &amp; TECH COLL</t>
  </si>
  <si>
    <t>NORMANDALE CC</t>
  </si>
  <si>
    <t>NORTH HENN CC</t>
  </si>
  <si>
    <t>NORTHLAND COLLEGE</t>
  </si>
  <si>
    <t>NORTHWEST TC - BEMIDJI</t>
  </si>
  <si>
    <t>NOVA ACADEMY COSMETOLOGY</t>
  </si>
  <si>
    <t>NW HEALTH SCIENCES UNIV</t>
  </si>
  <si>
    <t>OAK HILLS CHRISTIAN COLL</t>
  </si>
  <si>
    <t>PINE TC</t>
  </si>
  <si>
    <t>RIVERLAND CC &amp; TC</t>
  </si>
  <si>
    <t>ROCHESTER CC &amp; TC</t>
  </si>
  <si>
    <t>SOUTHWEST MN STATE UNIV</t>
  </si>
  <si>
    <t>ST CATHERINE UNIVERSITY</t>
  </si>
  <si>
    <t>ST CLOUD STATE</t>
  </si>
  <si>
    <t>ST CLOUD TC</t>
  </si>
  <si>
    <t>ST MARY'S UNIV OF MN</t>
  </si>
  <si>
    <t>ST PAUL COLLEGE</t>
  </si>
  <si>
    <t>U OF MN-CROOKSTON</t>
  </si>
  <si>
    <t>U OF MN-DULUTH</t>
  </si>
  <si>
    <t>U OF MN-MORRIS</t>
  </si>
  <si>
    <t>U OF MN-TC</t>
  </si>
  <si>
    <t>UNIV OF NORTHWESTERN - SP</t>
  </si>
  <si>
    <t>WHITE EARTH TRIBAL CC</t>
  </si>
  <si>
    <t>WINONA STATE</t>
  </si>
  <si>
    <t>AUGSBURG UNIVERSITY</t>
  </si>
  <si>
    <t>012606</t>
  </si>
  <si>
    <t>EMPIRE BTY - BLOOMINGTON</t>
  </si>
  <si>
    <t>009459</t>
  </si>
  <si>
    <t>EMPIRE BTY SCH-SPR LK PK</t>
  </si>
  <si>
    <t>RASMUSSEN COLLEGE</t>
  </si>
  <si>
    <t>042718</t>
  </si>
  <si>
    <t>RED LAKE NATION COLLEGE</t>
  </si>
  <si>
    <t>2-year</t>
  </si>
  <si>
    <t>4-year</t>
  </si>
  <si>
    <t>Annual Tuition and Fee Maximums</t>
  </si>
  <si>
    <t>FT Term T&amp;F Maximum</t>
  </si>
  <si>
    <t>Annual LME</t>
  </si>
  <si>
    <t>This student</t>
  </si>
  <si>
    <t>Term EFC - this student</t>
  </si>
  <si>
    <t>Term AFR - this student</t>
  </si>
  <si>
    <t>SG Credits</t>
  </si>
  <si>
    <t>Enrollment Credits</t>
  </si>
  <si>
    <t>Part Time Proration</t>
  </si>
  <si>
    <t>Select School 1</t>
  </si>
  <si>
    <t>Select School 2</t>
  </si>
  <si>
    <t>Select School 3</t>
  </si>
  <si>
    <t>Enter Credits by School Here</t>
  </si>
  <si>
    <t>Table created by OHE for use in estimating awards</t>
  </si>
  <si>
    <t>2022-2023 STATE GRANT TERM AWARD CALCULATOR</t>
  </si>
  <si>
    <t xml:space="preserve">2022-2023 Federal Pell Grant Program Award Table </t>
  </si>
  <si>
    <t xml:space="preserve">MN North </t>
  </si>
  <si>
    <t>Y</t>
  </si>
  <si>
    <t>2022-2023</t>
  </si>
  <si>
    <t xml:space="preserve">N/A - No School Selected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</si>
</sst>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[$-409]mmmm\ d\,\ yyyy;@"/>
    <numFmt numFmtId="167" formatCode="000000"/>
    <numFmt numFmtId="168" formatCode="mm/dd/yy;@"/>
    <numFmt numFmtId="169" formatCode="#,##0.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Helv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35"/>
      </patternFill>
    </fill>
    <fill>
      <patternFill patternType="solid">
        <fgColor indexed="15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3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top"/>
    </xf>
    <xf numFmtId="4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/>
    <xf numFmtId="0" fontId="3" fillId="0" borderId="0"/>
    <xf numFmtId="0" fontId="2" fillId="0" borderId="0"/>
    <xf numFmtId="44" fontId="12" fillId="0" borderId="0" applyFont="0" applyFill="0" applyBorder="0" applyAlignment="0" applyProtection="0"/>
  </cellStyleXfs>
  <cellXfs count="128">
    <xf numFmtId="0" fontId="0" fillId="0" borderId="0" xfId="0" applyAlignment="1"/>
    <xf numFmtId="5" fontId="4" fillId="2" borderId="1" xfId="2" applyNumberFormat="1" applyFont="1" applyFill="1" applyBorder="1" applyProtection="1">
      <protection locked="0"/>
    </xf>
    <xf numFmtId="164" fontId="0" fillId="0" borderId="0" xfId="0" applyNumberFormat="1" applyAlignment="1"/>
    <xf numFmtId="0" fontId="4" fillId="2" borderId="1" xfId="2" applyNumberFormat="1" applyFont="1" applyFill="1" applyBorder="1" applyProtection="1">
      <protection locked="0"/>
    </xf>
    <xf numFmtId="37" fontId="0" fillId="2" borderId="1" xfId="2" applyNumberFormat="1" applyFon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0" borderId="0" xfId="0" applyAlignment="1" applyProtection="1"/>
    <xf numFmtId="165" fontId="0" fillId="0" borderId="0" xfId="0" applyNumberFormat="1" applyAlignment="1" applyProtection="1"/>
    <xf numFmtId="0" fontId="10" fillId="0" borderId="0" xfId="0" applyFont="1" applyAlignment="1" applyProtection="1"/>
    <xf numFmtId="0" fontId="6" fillId="0" borderId="0" xfId="2" applyNumberFormat="1" applyFont="1" applyProtection="1"/>
    <xf numFmtId="0" fontId="0" fillId="0" borderId="0" xfId="2" applyNumberFormat="1" applyFont="1" applyProtection="1"/>
    <xf numFmtId="5" fontId="0" fillId="0" borderId="0" xfId="2" applyNumberFormat="1" applyFont="1" applyProtection="1"/>
    <xf numFmtId="5" fontId="0" fillId="0" borderId="0" xfId="2" applyNumberFormat="1" applyFont="1" applyFill="1" applyBorder="1" applyProtection="1"/>
    <xf numFmtId="0" fontId="6" fillId="0" borderId="0" xfId="2" applyNumberFormat="1" applyFont="1" applyAlignment="1" applyProtection="1">
      <alignment horizontal="left"/>
    </xf>
    <xf numFmtId="5" fontId="6" fillId="0" borderId="0" xfId="2" applyNumberFormat="1" applyFont="1" applyProtection="1"/>
    <xf numFmtId="17" fontId="6" fillId="0" borderId="0" xfId="2" applyNumberFormat="1" applyFont="1" applyAlignment="1" applyProtection="1">
      <alignment horizontal="left"/>
    </xf>
    <xf numFmtId="164" fontId="0" fillId="0" borderId="0" xfId="0" applyNumberFormat="1" applyAlignment="1" applyProtection="1"/>
    <xf numFmtId="168" fontId="6" fillId="0" borderId="0" xfId="0" quotePrefix="1" applyNumberFormat="1" applyFont="1" applyAlignment="1" applyProtection="1"/>
    <xf numFmtId="5" fontId="6" fillId="0" borderId="0" xfId="2" applyNumberFormat="1" applyFont="1" applyAlignment="1" applyProtection="1">
      <alignment horizontal="left"/>
    </xf>
    <xf numFmtId="0" fontId="5" fillId="0" borderId="0" xfId="2" applyNumberFormat="1" applyFont="1" applyAlignment="1" applyProtection="1">
      <alignment horizontal="center"/>
    </xf>
    <xf numFmtId="0" fontId="6" fillId="0" borderId="0" xfId="0" applyFont="1" applyAlignment="1" applyProtection="1"/>
    <xf numFmtId="0" fontId="7" fillId="0" borderId="0" xfId="2" applyNumberFormat="1" applyFont="1" applyAlignment="1" applyProtection="1">
      <alignment horizontal="left"/>
    </xf>
    <xf numFmtId="0" fontId="7" fillId="0" borderId="0" xfId="2" applyNumberFormat="1" applyFont="1" applyProtection="1"/>
    <xf numFmtId="0" fontId="10" fillId="0" borderId="0" xfId="0" applyFont="1" applyAlignment="1" applyProtection="1">
      <alignment horizontal="right"/>
    </xf>
    <xf numFmtId="0" fontId="0" fillId="0" borderId="0" xfId="0" applyProtection="1">
      <alignment vertical="top"/>
    </xf>
    <xf numFmtId="167" fontId="0" fillId="0" borderId="0" xfId="0" applyNumberFormat="1" applyAlignment="1" applyProtection="1">
      <alignment horizontal="left"/>
    </xf>
    <xf numFmtId="165" fontId="0" fillId="0" borderId="0" xfId="0" applyNumberFormat="1" applyProtection="1">
      <alignment vertical="top"/>
    </xf>
    <xf numFmtId="0" fontId="15" fillId="0" borderId="0" xfId="0" applyFont="1" applyAlignment="1" applyProtection="1">
      <alignment horizontal="right" wrapText="1"/>
    </xf>
    <xf numFmtId="0" fontId="0" fillId="0" borderId="0" xfId="2" applyNumberFormat="1" applyFont="1" applyAlignment="1" applyProtection="1">
      <alignment horizontal="left"/>
    </xf>
    <xf numFmtId="0" fontId="10" fillId="0" borderId="0" xfId="2" applyNumberFormat="1" applyFont="1" applyProtection="1"/>
    <xf numFmtId="5" fontId="11" fillId="0" borderId="0" xfId="2" applyNumberFormat="1" applyFont="1" applyProtection="1"/>
    <xf numFmtId="0" fontId="6" fillId="0" borderId="0" xfId="0" applyFont="1" applyFill="1" applyBorder="1" applyAlignment="1" applyProtection="1"/>
    <xf numFmtId="164" fontId="10" fillId="0" borderId="0" xfId="0" applyNumberFormat="1" applyFont="1" applyAlignment="1" applyProtection="1">
      <alignment horizontal="right"/>
    </xf>
    <xf numFmtId="5" fontId="8" fillId="0" borderId="0" xfId="2" applyNumberFormat="1" applyFont="1" applyAlignment="1" applyProtection="1">
      <alignment horizontal="center"/>
    </xf>
    <xf numFmtId="0" fontId="8" fillId="0" borderId="0" xfId="2" applyNumberFormat="1" applyFont="1" applyAlignment="1" applyProtection="1">
      <alignment horizontal="center"/>
    </xf>
    <xf numFmtId="165" fontId="0" fillId="0" borderId="0" xfId="2" applyNumberFormat="1" applyFont="1" applyProtection="1"/>
    <xf numFmtId="0" fontId="11" fillId="0" borderId="0" xfId="0" applyFont="1" applyAlignment="1" applyProtection="1"/>
    <xf numFmtId="5" fontId="7" fillId="0" borderId="0" xfId="2" applyNumberFormat="1" applyFont="1" applyAlignment="1" applyProtection="1">
      <alignment horizontal="center"/>
    </xf>
    <xf numFmtId="5" fontId="7" fillId="0" borderId="0" xfId="2" applyNumberFormat="1" applyFont="1" applyProtection="1"/>
    <xf numFmtId="0" fontId="13" fillId="0" borderId="0" xfId="4" applyProtection="1"/>
    <xf numFmtId="0" fontId="13" fillId="0" borderId="0" xfId="4" quotePrefix="1" applyProtection="1"/>
    <xf numFmtId="165" fontId="13" fillId="0" borderId="0" xfId="4" applyNumberFormat="1" applyProtection="1"/>
    <xf numFmtId="0" fontId="0" fillId="4" borderId="1" xfId="0" applyFill="1" applyBorder="1" applyAlignment="1" applyProtection="1">
      <protection locked="0"/>
    </xf>
    <xf numFmtId="5" fontId="17" fillId="0" borderId="0" xfId="2" applyNumberFormat="1" applyFont="1" applyProtection="1"/>
    <xf numFmtId="1" fontId="0" fillId="0" borderId="0" xfId="2" applyNumberFormat="1" applyFont="1" applyFill="1"/>
    <xf numFmtId="1" fontId="11" fillId="5" borderId="0" xfId="2" applyNumberFormat="1" applyFont="1" applyFill="1"/>
    <xf numFmtId="0" fontId="0" fillId="5" borderId="0" xfId="0" applyFill="1" applyAlignment="1"/>
    <xf numFmtId="0" fontId="0" fillId="0" borderId="0" xfId="0" applyFill="1" applyAlignment="1"/>
    <xf numFmtId="0" fontId="11" fillId="5" borderId="0" xfId="2" applyNumberFormat="1" applyFont="1" applyFill="1"/>
    <xf numFmtId="164" fontId="14" fillId="0" borderId="0" xfId="6" applyNumberFormat="1" applyFill="1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 applyProtection="1">
      <alignment horizontal="right"/>
    </xf>
    <xf numFmtId="164" fontId="6" fillId="0" borderId="0" xfId="0" applyNumberFormat="1" applyFont="1" applyAlignment="1" applyProtection="1">
      <alignment horizontal="right" wrapText="1"/>
    </xf>
    <xf numFmtId="0" fontId="11" fillId="0" borderId="0" xfId="0" applyFont="1" applyAlignment="1"/>
    <xf numFmtId="0" fontId="0" fillId="0" borderId="0" xfId="0" applyBorder="1" applyAlignment="1" applyProtection="1"/>
    <xf numFmtId="0" fontId="4" fillId="0" borderId="0" xfId="2" applyNumberFormat="1" applyFont="1" applyFill="1" applyBorder="1" applyProtection="1"/>
    <xf numFmtId="0" fontId="11" fillId="4" borderId="1" xfId="0" applyFont="1" applyFill="1" applyBorder="1" applyAlignment="1" applyProtection="1">
      <protection locked="0"/>
    </xf>
    <xf numFmtId="0" fontId="11" fillId="0" borderId="0" xfId="2" applyNumberFormat="1" applyFont="1" applyFill="1" applyBorder="1" applyProtection="1"/>
    <xf numFmtId="0" fontId="11" fillId="0" borderId="2" xfId="0" applyFont="1" applyFill="1" applyBorder="1" applyAlignment="1" applyProtection="1"/>
    <xf numFmtId="5" fontId="7" fillId="6" borderId="0" xfId="2" applyNumberFormat="1" applyFont="1" applyFill="1" applyProtection="1"/>
    <xf numFmtId="0" fontId="6" fillId="0" borderId="0" xfId="0" applyFont="1" applyAlignment="1" applyProtection="1">
      <alignment vertical="top"/>
    </xf>
    <xf numFmtId="0" fontId="0" fillId="0" borderId="0" xfId="0" applyFill="1" applyProtection="1">
      <alignment vertical="top"/>
    </xf>
    <xf numFmtId="167" fontId="11" fillId="0" borderId="0" xfId="0" quotePrefix="1" applyNumberFormat="1" applyFont="1" applyFill="1" applyAlignment="1" applyProtection="1">
      <alignment horizontal="left"/>
    </xf>
    <xf numFmtId="5" fontId="4" fillId="5" borderId="0" xfId="2" applyNumberFormat="1" applyFont="1" applyFill="1" applyProtection="1"/>
    <xf numFmtId="5" fontId="12" fillId="5" borderId="0" xfId="2" applyNumberFormat="1" applyFont="1" applyFill="1" applyProtection="1"/>
    <xf numFmtId="165" fontId="0" fillId="0" borderId="0" xfId="0" applyNumberFormat="1" applyFill="1" applyBorder="1" applyAlignment="1" applyProtection="1"/>
    <xf numFmtId="0" fontId="0" fillId="0" borderId="0" xfId="0" quotePrefix="1" applyFill="1" applyAlignment="1"/>
    <xf numFmtId="164" fontId="0" fillId="0" borderId="0" xfId="0" applyNumberFormat="1" applyFill="1" applyAlignment="1"/>
    <xf numFmtId="0" fontId="14" fillId="0" borderId="0" xfId="6" quotePrefix="1" applyFill="1"/>
    <xf numFmtId="164" fontId="0" fillId="0" borderId="0" xfId="0" applyNumberFormat="1" applyFill="1" applyAlignment="1" applyProtection="1"/>
    <xf numFmtId="0" fontId="17" fillId="5" borderId="0" xfId="0" applyFont="1" applyFill="1" applyAlignment="1"/>
    <xf numFmtId="1" fontId="11" fillId="0" borderId="0" xfId="2" applyNumberFormat="1" applyFont="1" applyFill="1"/>
    <xf numFmtId="166" fontId="6" fillId="0" borderId="0" xfId="2" applyNumberFormat="1" applyFont="1" applyFill="1" applyProtection="1"/>
    <xf numFmtId="17" fontId="18" fillId="5" borderId="0" xfId="0" applyNumberFormat="1" applyFont="1" applyFill="1" applyAlignment="1"/>
    <xf numFmtId="0" fontId="18" fillId="5" borderId="0" xfId="0" applyFont="1" applyFill="1" applyAlignment="1"/>
    <xf numFmtId="0" fontId="16" fillId="0" borderId="0" xfId="0" applyFont="1" applyAlignment="1" applyProtection="1"/>
    <xf numFmtId="165" fontId="16" fillId="0" borderId="0" xfId="0" applyNumberFormat="1" applyFont="1" applyAlignment="1" applyProtection="1"/>
    <xf numFmtId="0" fontId="16" fillId="0" borderId="0" xfId="2" applyNumberFormat="1" applyFont="1" applyAlignment="1" applyProtection="1">
      <alignment horizontal="right"/>
    </xf>
    <xf numFmtId="0" fontId="16" fillId="0" borderId="0" xfId="0" applyFont="1" applyAlignment="1" applyProtection="1">
      <alignment horizontal="right"/>
    </xf>
    <xf numFmtId="5" fontId="16" fillId="0" borderId="0" xfId="2" applyNumberFormat="1" applyFont="1" applyProtection="1"/>
    <xf numFmtId="0" fontId="17" fillId="0" borderId="0" xfId="2" applyNumberFormat="1" applyFont="1" applyAlignment="1" applyProtection="1">
      <alignment horizontal="right"/>
    </xf>
    <xf numFmtId="0" fontId="16" fillId="0" borderId="0" xfId="2" applyNumberFormat="1" applyFont="1" applyProtection="1"/>
    <xf numFmtId="0" fontId="11" fillId="0" borderId="0" xfId="0" applyFont="1" applyAlignment="1" applyProtection="1">
      <alignment horizontal="right"/>
    </xf>
    <xf numFmtId="0" fontId="11" fillId="0" borderId="0" xfId="0" applyFont="1" applyAlignment="1">
      <alignment horizontal="right"/>
    </xf>
    <xf numFmtId="169" fontId="0" fillId="0" borderId="0" xfId="1" applyNumberFormat="1" applyFont="1" applyAlignment="1" applyProtection="1"/>
    <xf numFmtId="169" fontId="0" fillId="0" borderId="0" xfId="1" applyNumberFormat="1" applyFont="1" applyProtection="1"/>
    <xf numFmtId="0" fontId="6" fillId="0" borderId="0" xfId="0" applyFont="1" applyAlignment="1" applyProtection="1">
      <alignment horizontal="center"/>
    </xf>
    <xf numFmtId="0" fontId="3" fillId="0" borderId="0" xfId="7" applyFill="1"/>
    <xf numFmtId="0" fontId="2" fillId="0" borderId="0" xfId="8"/>
    <xf numFmtId="0" fontId="2" fillId="0" borderId="0" xfId="8" quotePrefix="1"/>
    <xf numFmtId="0" fontId="2" fillId="0" borderId="0" xfId="8" quotePrefix="1" applyFill="1"/>
    <xf numFmtId="0" fontId="2" fillId="0" borderId="0" xfId="8" applyFill="1"/>
    <xf numFmtId="0" fontId="14" fillId="0" borderId="0" xfId="6" applyFill="1"/>
    <xf numFmtId="0" fontId="2" fillId="0" borderId="0" xfId="8"/>
    <xf numFmtId="0" fontId="2" fillId="0" borderId="0" xfId="8" quotePrefix="1"/>
    <xf numFmtId="0" fontId="2" fillId="0" borderId="0" xfId="8" quotePrefix="1" applyFill="1"/>
    <xf numFmtId="0" fontId="2" fillId="0" borderId="0" xfId="8" applyFill="1"/>
    <xf numFmtId="0" fontId="2" fillId="0" borderId="0" xfId="8"/>
    <xf numFmtId="0" fontId="2" fillId="0" borderId="0" xfId="8" applyFill="1"/>
    <xf numFmtId="0" fontId="2" fillId="0" borderId="0" xfId="8" quotePrefix="1" applyFill="1"/>
    <xf numFmtId="0" fontId="2" fillId="0" borderId="0" xfId="8" applyFill="1"/>
    <xf numFmtId="0" fontId="17" fillId="0" borderId="0" xfId="0" applyFont="1" applyAlignment="1" applyProtection="1"/>
    <xf numFmtId="0" fontId="17" fillId="0" borderId="0" xfId="2" applyNumberFormat="1" applyFont="1" applyAlignment="1" applyProtection="1">
      <alignment horizontal="left"/>
    </xf>
    <xf numFmtId="0" fontId="17" fillId="0" borderId="0" xfId="2" applyNumberFormat="1" applyFont="1" applyProtection="1"/>
    <xf numFmtId="0" fontId="16" fillId="0" borderId="0" xfId="0" applyFont="1" applyAlignment="1"/>
    <xf numFmtId="1" fontId="16" fillId="0" borderId="0" xfId="2" applyNumberFormat="1" applyFont="1" applyFill="1"/>
    <xf numFmtId="5" fontId="16" fillId="0" borderId="0" xfId="2" applyNumberFormat="1" applyFont="1" applyAlignment="1">
      <alignment horizontal="right"/>
    </xf>
    <xf numFmtId="1" fontId="16" fillId="5" borderId="0" xfId="2" applyNumberFormat="1" applyFont="1" applyFill="1"/>
    <xf numFmtId="5" fontId="16" fillId="5" borderId="0" xfId="2" applyNumberFormat="1" applyFont="1" applyFill="1" applyAlignment="1">
      <alignment horizontal="right"/>
    </xf>
    <xf numFmtId="5" fontId="16" fillId="0" borderId="0" xfId="2" applyNumberFormat="1" applyFont="1" applyFill="1" applyAlignment="1">
      <alignment horizontal="right"/>
    </xf>
    <xf numFmtId="0" fontId="16" fillId="5" borderId="0" xfId="0" applyFont="1" applyFill="1" applyAlignment="1"/>
    <xf numFmtId="0" fontId="16" fillId="0" borderId="0" xfId="0" applyFont="1" applyFill="1" applyAlignment="1"/>
    <xf numFmtId="0" fontId="16" fillId="5" borderId="0" xfId="2" applyNumberFormat="1" applyFont="1" applyFill="1"/>
    <xf numFmtId="44" fontId="3" fillId="0" borderId="0" xfId="9" applyFont="1"/>
    <xf numFmtId="0" fontId="1" fillId="0" borderId="0" xfId="6" applyFont="1" applyFill="1"/>
    <xf numFmtId="44" fontId="3" fillId="0" borderId="0" xfId="9" applyFont="1" applyFill="1"/>
    <xf numFmtId="0" fontId="6" fillId="0" borderId="0" xfId="0" applyFont="1" applyFill="1" applyAlignment="1" applyProtection="1">
      <alignment horizontal="right" wrapText="1"/>
    </xf>
    <xf numFmtId="0" fontId="15" fillId="0" borderId="0" xfId="0" applyFont="1" applyAlignment="1" applyProtection="1">
      <alignment horizontal="left" wrapText="1"/>
    </xf>
    <xf numFmtId="1" fontId="4" fillId="2" borderId="3" xfId="2" applyNumberFormat="1" applyFont="1" applyFill="1" applyBorder="1" applyAlignment="1" applyProtection="1">
      <protection locked="0"/>
    </xf>
    <xf numFmtId="0" fontId="0" fillId="0" borderId="4" xfId="0" applyBorder="1" applyAlignment="1"/>
    <xf numFmtId="0" fontId="4" fillId="2" borderId="3" xfId="2" applyNumberFormat="1" applyFont="1" applyFill="1" applyBorder="1" applyAlignment="1" applyProtection="1">
      <protection locked="0"/>
    </xf>
    <xf numFmtId="164" fontId="0" fillId="0" borderId="1" xfId="0" applyNumberFormat="1" applyFill="1" applyBorder="1" applyAlignment="1" applyProtection="1"/>
    <xf numFmtId="0" fontId="19" fillId="4" borderId="0" xfId="0" applyFont="1" applyFill="1" applyAlignment="1" applyProtection="1">
      <alignment horizontal="center"/>
    </xf>
    <xf numFmtId="5" fontId="19" fillId="4" borderId="0" xfId="2" applyNumberFormat="1" applyFont="1" applyFill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5" fontId="20" fillId="0" borderId="0" xfId="2" applyNumberFormat="1" applyFont="1" applyAlignment="1" applyProtection="1">
      <alignment horizontal="center"/>
    </xf>
  </cellXfs>
  <cellStyles count="10">
    <cellStyle name="Comma" xfId="1" builtinId="3"/>
    <cellStyle name="Comma0" xfId="2" xr:uid="{00000000-0005-0000-0000-000001000000}"/>
    <cellStyle name="Currency" xfId="9" builtinId="4"/>
    <cellStyle name="Currency0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1"/>
  <sheetViews>
    <sheetView tabSelected="1" workbookViewId="0">
      <selection activeCell="F25" sqref="F25"/>
    </sheetView>
  </sheetViews>
  <sheetFormatPr defaultRowHeight="13.2" x14ac:dyDescent="0.25"/>
  <cols>
    <col min="1" max="1" width="16.88671875" customWidth="1"/>
    <col min="2" max="2" width="12.44140625" customWidth="1"/>
    <col min="3" max="3" width="16.5546875" customWidth="1"/>
    <col min="4" max="4" width="14.44140625" customWidth="1"/>
    <col min="5" max="7" width="20.109375" bestFit="1" customWidth="1"/>
    <col min="8" max="8" width="17" customWidth="1"/>
    <col min="9" max="9" width="14.6640625" customWidth="1"/>
    <col min="10" max="10" width="12.6640625" customWidth="1"/>
    <col min="11" max="11" width="10.5546875" customWidth="1"/>
    <col min="12" max="12" width="10.33203125" customWidth="1"/>
    <col min="13" max="15" width="8.6640625" customWidth="1"/>
    <col min="16" max="16" width="9.6640625" customWidth="1"/>
    <col min="17" max="27" width="8.6640625" customWidth="1"/>
    <col min="28" max="28" width="6.109375" customWidth="1"/>
    <col min="29" max="29" width="10.109375" customWidth="1"/>
    <col min="30" max="30" width="52.88671875" customWidth="1"/>
    <col min="31" max="31" width="8.5546875" customWidth="1"/>
    <col min="32" max="32" width="10.109375" style="2" bestFit="1" customWidth="1"/>
  </cols>
  <sheetData>
    <row r="1" spans="1:33" x14ac:dyDescent="0.25">
      <c r="A1" s="104" t="s">
        <v>244</v>
      </c>
      <c r="B1" s="105"/>
      <c r="C1" s="105"/>
      <c r="D1" s="106"/>
      <c r="E1" s="6"/>
      <c r="F1" s="74">
        <v>44791</v>
      </c>
      <c r="G1" s="14"/>
      <c r="H1" s="6"/>
      <c r="I1" s="14"/>
      <c r="J1" s="36"/>
      <c r="K1" s="14"/>
      <c r="L1" s="15" t="s">
        <v>0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6"/>
    </row>
    <row r="2" spans="1:33" x14ac:dyDescent="0.25">
      <c r="A2" s="9" t="s">
        <v>67</v>
      </c>
      <c r="B2" s="6"/>
      <c r="C2" s="6"/>
      <c r="D2" s="6"/>
      <c r="E2" s="6"/>
      <c r="F2" s="11"/>
      <c r="G2" s="11"/>
      <c r="H2" s="6"/>
      <c r="I2" s="43"/>
      <c r="J2" s="17"/>
      <c r="K2" s="11"/>
      <c r="L2" s="14" t="s">
        <v>0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16"/>
    </row>
    <row r="3" spans="1:33" x14ac:dyDescent="0.25">
      <c r="A3" s="14" t="s">
        <v>68</v>
      </c>
      <c r="B3" s="6"/>
      <c r="C3" s="6"/>
      <c r="D3" s="13" t="s">
        <v>1</v>
      </c>
      <c r="E3" s="122" t="s">
        <v>0</v>
      </c>
      <c r="F3" s="121"/>
      <c r="G3" s="18" t="s">
        <v>2</v>
      </c>
      <c r="H3" s="120" t="s">
        <v>0</v>
      </c>
      <c r="I3" s="121"/>
      <c r="J3" s="57"/>
      <c r="K3" s="1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16"/>
    </row>
    <row r="4" spans="1:33" x14ac:dyDescent="0.25">
      <c r="A4" s="6"/>
      <c r="B4" s="6"/>
      <c r="C4" s="6"/>
      <c r="D4" s="6"/>
      <c r="E4" s="6"/>
      <c r="F4" s="11"/>
      <c r="G4" s="11"/>
      <c r="H4" s="11"/>
      <c r="I4" s="11"/>
      <c r="J4" s="6"/>
      <c r="K4" s="11"/>
      <c r="L4" s="11"/>
      <c r="M4" s="6"/>
      <c r="N4" s="19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103"/>
      <c r="AD4" s="77"/>
      <c r="AE4" s="6"/>
      <c r="AF4" s="16"/>
    </row>
    <row r="5" spans="1:33" ht="21" x14ac:dyDescent="0.4">
      <c r="A5" s="21" t="s">
        <v>3</v>
      </c>
      <c r="B5" s="9"/>
      <c r="C5" s="9" t="s">
        <v>4</v>
      </c>
      <c r="D5" s="6"/>
      <c r="E5" s="6"/>
      <c r="F5" s="6"/>
      <c r="G5" s="6"/>
      <c r="H5" s="22" t="s">
        <v>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118"/>
      <c r="AE5" s="23"/>
      <c r="AF5" s="16"/>
    </row>
    <row r="6" spans="1:33" x14ac:dyDescent="0.25">
      <c r="A6" s="9"/>
      <c r="B6" s="9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3" t="s">
        <v>248</v>
      </c>
      <c r="AD6" s="64"/>
      <c r="AE6" s="26"/>
      <c r="AF6" s="53" t="s">
        <v>61</v>
      </c>
    </row>
    <row r="7" spans="1:33" x14ac:dyDescent="0.25">
      <c r="A7" s="13" t="s">
        <v>6</v>
      </c>
      <c r="B7" s="11"/>
      <c r="C7" s="6"/>
      <c r="D7" s="6"/>
      <c r="E7" s="6"/>
      <c r="F7" s="6"/>
      <c r="G7" s="6"/>
      <c r="H7" s="9" t="s">
        <v>7</v>
      </c>
      <c r="I7" s="9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24"/>
      <c r="AD7" s="25"/>
      <c r="AE7" s="26"/>
      <c r="AF7" s="53" t="s">
        <v>63</v>
      </c>
    </row>
    <row r="8" spans="1:33" ht="27" x14ac:dyDescent="0.3">
      <c r="A8" s="6"/>
      <c r="B8" s="1">
        <v>0</v>
      </c>
      <c r="C8" s="6"/>
      <c r="D8" s="6"/>
      <c r="E8" s="6"/>
      <c r="F8" s="6"/>
      <c r="G8" s="13" t="s">
        <v>8</v>
      </c>
      <c r="H8" s="9"/>
      <c r="I8" s="9"/>
      <c r="J8" s="9" t="s">
        <v>9</v>
      </c>
      <c r="K8" s="9" t="s">
        <v>10</v>
      </c>
      <c r="L8" s="6"/>
      <c r="M8" s="6"/>
      <c r="N8" s="6"/>
      <c r="O8" s="6"/>
      <c r="P8" s="6"/>
      <c r="Q8" s="6"/>
      <c r="R8" s="6"/>
      <c r="S8" s="6"/>
      <c r="T8" s="72" t="s">
        <v>245</v>
      </c>
      <c r="U8" s="46"/>
      <c r="V8" s="46"/>
      <c r="W8" s="46"/>
      <c r="X8" s="46"/>
      <c r="Y8" s="46"/>
      <c r="Z8" s="46"/>
      <c r="AA8" s="6"/>
      <c r="AB8" s="6"/>
      <c r="AC8" s="27" t="s">
        <v>58</v>
      </c>
      <c r="AD8" s="27" t="s">
        <v>59</v>
      </c>
      <c r="AE8" s="27" t="s">
        <v>60</v>
      </c>
      <c r="AF8" s="54" t="s">
        <v>62</v>
      </c>
      <c r="AG8" s="89"/>
    </row>
    <row r="9" spans="1:33" ht="14.4" x14ac:dyDescent="0.3">
      <c r="A9" s="6"/>
      <c r="B9" s="6"/>
      <c r="C9" s="6"/>
      <c r="D9" s="6"/>
      <c r="E9" s="6"/>
      <c r="F9" s="6"/>
      <c r="G9" s="10">
        <v>1</v>
      </c>
      <c r="H9" s="10">
        <v>5</v>
      </c>
      <c r="I9" s="28" t="s">
        <v>11</v>
      </c>
      <c r="J9" s="65">
        <f>VLOOKUP($B$8,$T$12:$Y$76,6,1)</f>
        <v>1724</v>
      </c>
      <c r="K9" s="66">
        <f>ROUND(J9/$B$32,0)</f>
        <v>862</v>
      </c>
      <c r="L9" s="6"/>
      <c r="M9" s="6"/>
      <c r="N9" s="6"/>
      <c r="O9" s="6"/>
      <c r="P9" s="6"/>
      <c r="Q9" s="6"/>
      <c r="R9" s="6"/>
      <c r="S9" s="6"/>
      <c r="T9" s="75"/>
      <c r="U9" s="76" t="s">
        <v>243</v>
      </c>
      <c r="V9" s="76"/>
      <c r="W9" s="76"/>
      <c r="X9" s="76"/>
      <c r="Y9" s="76"/>
      <c r="Z9" s="46"/>
      <c r="AA9" s="96"/>
      <c r="AB9" s="95"/>
      <c r="AC9" s="27">
        <v>999999</v>
      </c>
      <c r="AD9" s="119" t="s">
        <v>249</v>
      </c>
      <c r="AE9" s="27" t="s">
        <v>166</v>
      </c>
      <c r="AF9" s="54">
        <v>0</v>
      </c>
      <c r="AG9" s="2"/>
    </row>
    <row r="10" spans="1:33" ht="14.4" x14ac:dyDescent="0.3">
      <c r="A10" s="13" t="s">
        <v>12</v>
      </c>
      <c r="B10" s="11"/>
      <c r="C10" s="6"/>
      <c r="D10" s="6"/>
      <c r="E10" s="6"/>
      <c r="F10" s="6"/>
      <c r="G10" s="10">
        <v>6</v>
      </c>
      <c r="H10" s="10">
        <v>8</v>
      </c>
      <c r="I10" s="28" t="s">
        <v>13</v>
      </c>
      <c r="J10" s="65">
        <f>VLOOKUP($B$8,$T$12:$Y$76,5,1)</f>
        <v>3448</v>
      </c>
      <c r="K10" s="66">
        <f>ROUND(J10/$B$32,0)</f>
        <v>1724</v>
      </c>
      <c r="L10" s="6"/>
      <c r="M10" s="6"/>
      <c r="N10" s="6"/>
      <c r="O10" s="6"/>
      <c r="P10" s="6"/>
      <c r="Q10" s="6"/>
      <c r="R10" s="6"/>
      <c r="S10" s="6"/>
      <c r="Z10" s="6"/>
      <c r="AA10" s="97"/>
      <c r="AB10" s="98"/>
      <c r="AC10" s="70" t="s">
        <v>90</v>
      </c>
      <c r="AD10" s="94" t="s">
        <v>69</v>
      </c>
      <c r="AE10" s="99" t="s">
        <v>167</v>
      </c>
      <c r="AF10" s="115">
        <v>612.13333333333333</v>
      </c>
      <c r="AG10" s="2"/>
    </row>
    <row r="11" spans="1:33" ht="14.4" x14ac:dyDescent="0.3">
      <c r="A11" s="6"/>
      <c r="B11" s="1">
        <v>0</v>
      </c>
      <c r="C11" s="6"/>
      <c r="D11" s="6"/>
      <c r="E11" s="6"/>
      <c r="F11" s="6"/>
      <c r="G11" s="10">
        <v>9</v>
      </c>
      <c r="H11" s="10">
        <v>11</v>
      </c>
      <c r="I11" s="28" t="s">
        <v>14</v>
      </c>
      <c r="J11" s="65">
        <f>VLOOKUP($B$8,$T$12:$Y$76,4,1)</f>
        <v>5171</v>
      </c>
      <c r="K11" s="66">
        <f>ROUND(J11/$B$32,0)</f>
        <v>2586</v>
      </c>
      <c r="L11" s="6"/>
      <c r="M11" s="6"/>
      <c r="N11" s="6"/>
      <c r="O11" s="6"/>
      <c r="P11" s="6"/>
      <c r="Q11" s="6"/>
      <c r="R11" s="6"/>
      <c r="S11" s="6"/>
      <c r="T11" s="50" t="s">
        <v>15</v>
      </c>
      <c r="U11" s="51"/>
      <c r="V11" s="52" t="s">
        <v>16</v>
      </c>
      <c r="W11" s="52" t="s">
        <v>17</v>
      </c>
      <c r="X11" s="52" t="s">
        <v>18</v>
      </c>
      <c r="Y11" s="52" t="s">
        <v>19</v>
      </c>
      <c r="Z11" s="6"/>
      <c r="AA11" s="97"/>
      <c r="AB11" s="98"/>
      <c r="AC11" s="70" t="s">
        <v>91</v>
      </c>
      <c r="AD11" s="94" t="s">
        <v>168</v>
      </c>
      <c r="AE11" s="100" t="s">
        <v>166</v>
      </c>
      <c r="AF11" s="115">
        <v>199.7</v>
      </c>
      <c r="AG11" s="2"/>
    </row>
    <row r="12" spans="1:33" ht="14.4" x14ac:dyDescent="0.3">
      <c r="A12" s="6"/>
      <c r="B12" s="6"/>
      <c r="C12" s="6"/>
      <c r="D12" s="6"/>
      <c r="E12" s="6"/>
      <c r="F12" s="6"/>
      <c r="G12" s="10">
        <v>12</v>
      </c>
      <c r="H12" s="10">
        <v>9999</v>
      </c>
      <c r="I12" s="28" t="s">
        <v>20</v>
      </c>
      <c r="J12" s="65">
        <f>VLOOKUP($B$8,$T$12:$Y$76,3,1)</f>
        <v>6895</v>
      </c>
      <c r="K12" s="66">
        <f>ROUND(J12/$B$32,0)</f>
        <v>3448</v>
      </c>
      <c r="L12" s="6"/>
      <c r="M12" s="6"/>
      <c r="N12" s="6"/>
      <c r="O12" s="6"/>
      <c r="P12" s="6"/>
      <c r="Q12" s="6"/>
      <c r="R12" s="6"/>
      <c r="S12" s="6"/>
      <c r="T12" s="44">
        <v>0</v>
      </c>
      <c r="U12" s="107">
        <v>0</v>
      </c>
      <c r="V12" s="108">
        <v>6895</v>
      </c>
      <c r="W12" s="108">
        <v>5171</v>
      </c>
      <c r="X12" s="108">
        <v>3448</v>
      </c>
      <c r="Y12" s="108">
        <v>1724</v>
      </c>
      <c r="Z12" s="6"/>
      <c r="AA12" s="96"/>
      <c r="AB12" s="95"/>
      <c r="AC12" s="70" t="s">
        <v>92</v>
      </c>
      <c r="AD12" s="94" t="s">
        <v>169</v>
      </c>
      <c r="AE12" s="100" t="s">
        <v>166</v>
      </c>
      <c r="AF12" s="115">
        <v>208.9</v>
      </c>
      <c r="AG12" s="2"/>
    </row>
    <row r="13" spans="1:33" ht="14.4" x14ac:dyDescent="0.3">
      <c r="A13" s="9" t="s">
        <v>43</v>
      </c>
      <c r="B13" s="58" t="s">
        <v>247</v>
      </c>
      <c r="C13" s="8" t="s">
        <v>45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9" t="s">
        <v>22</v>
      </c>
      <c r="O13" s="6"/>
      <c r="P13" s="6"/>
      <c r="Q13" s="6"/>
      <c r="R13" s="6"/>
      <c r="S13" s="6"/>
      <c r="T13" s="45">
        <v>1</v>
      </c>
      <c r="U13" s="109">
        <v>100</v>
      </c>
      <c r="V13" s="110">
        <v>6845</v>
      </c>
      <c r="W13" s="110">
        <v>5134</v>
      </c>
      <c r="X13" s="110">
        <v>3423</v>
      </c>
      <c r="Y13" s="110">
        <v>1711</v>
      </c>
      <c r="Z13" s="6"/>
      <c r="AA13" s="96"/>
      <c r="AB13" s="95"/>
      <c r="AC13" s="70" t="s">
        <v>93</v>
      </c>
      <c r="AD13" s="94" t="s">
        <v>170</v>
      </c>
      <c r="AE13" s="99" t="s">
        <v>166</v>
      </c>
      <c r="AF13" s="115">
        <v>185.53</v>
      </c>
      <c r="AG13" s="2"/>
    </row>
    <row r="14" spans="1:33" ht="14.4" x14ac:dyDescent="0.3">
      <c r="A14" s="6"/>
      <c r="B14" s="59" t="s">
        <v>0</v>
      </c>
      <c r="C14" s="29" t="s">
        <v>46</v>
      </c>
      <c r="D14" s="11"/>
      <c r="E14" s="11"/>
      <c r="F14" s="11"/>
      <c r="G14" s="6"/>
      <c r="H14" s="9" t="s">
        <v>21</v>
      </c>
      <c r="I14" s="6"/>
      <c r="J14" s="6"/>
      <c r="K14" s="6"/>
      <c r="L14" s="6"/>
      <c r="M14" s="6"/>
      <c r="N14" s="55" t="s">
        <v>236</v>
      </c>
      <c r="O14" s="36" t="s">
        <v>237</v>
      </c>
      <c r="P14" s="36" t="s">
        <v>238</v>
      </c>
      <c r="Q14" s="6"/>
      <c r="R14" s="6"/>
      <c r="S14" s="6"/>
      <c r="T14" s="44">
        <f t="shared" ref="T14:U29" si="0">100+T13</f>
        <v>101</v>
      </c>
      <c r="U14" s="107">
        <f t="shared" si="0"/>
        <v>200</v>
      </c>
      <c r="V14" s="111">
        <v>6745</v>
      </c>
      <c r="W14" s="111">
        <f t="shared" ref="W14:W72" si="1">W13-75</f>
        <v>5059</v>
      </c>
      <c r="X14" s="111">
        <f>X13-50</f>
        <v>3373</v>
      </c>
      <c r="Y14" s="111">
        <f>Y13-25</f>
        <v>1686</v>
      </c>
      <c r="Z14" s="6"/>
      <c r="AA14" s="96"/>
      <c r="AB14" s="95"/>
      <c r="AC14" s="70" t="s">
        <v>94</v>
      </c>
      <c r="AD14" s="94" t="s">
        <v>220</v>
      </c>
      <c r="AE14" s="99" t="s">
        <v>166</v>
      </c>
      <c r="AF14" s="115">
        <v>1314.4666666666667</v>
      </c>
      <c r="AG14" s="2"/>
    </row>
    <row r="15" spans="1:33" ht="14.4" x14ac:dyDescent="0.3">
      <c r="A15" s="6"/>
      <c r="B15" s="30" t="s">
        <v>0</v>
      </c>
      <c r="C15" s="8" t="s">
        <v>44</v>
      </c>
      <c r="D15" s="11"/>
      <c r="E15" s="11"/>
      <c r="F15" s="11"/>
      <c r="G15" s="6"/>
      <c r="H15" s="6"/>
      <c r="I15" s="10">
        <f>VLOOKUP($B$26,$N$15:$P$27,3,1)</f>
        <v>1</v>
      </c>
      <c r="J15" s="6"/>
      <c r="K15" s="6"/>
      <c r="L15" s="6"/>
      <c r="M15" s="6"/>
      <c r="N15" s="6">
        <v>3</v>
      </c>
      <c r="O15" s="6">
        <v>3</v>
      </c>
      <c r="P15" s="86">
        <v>0.2</v>
      </c>
      <c r="Q15" s="6"/>
      <c r="R15" s="6"/>
      <c r="S15" s="6"/>
      <c r="T15" s="45">
        <f t="shared" si="0"/>
        <v>201</v>
      </c>
      <c r="U15" s="109">
        <f t="shared" si="0"/>
        <v>300</v>
      </c>
      <c r="V15" s="110">
        <f t="shared" ref="V15:V74" si="2">V14-100</f>
        <v>6645</v>
      </c>
      <c r="W15" s="110">
        <f t="shared" si="1"/>
        <v>4984</v>
      </c>
      <c r="X15" s="110">
        <f t="shared" ref="X15:X67" si="3">X14-50</f>
        <v>3323</v>
      </c>
      <c r="Y15" s="110">
        <f t="shared" ref="Y15:Y53" si="4">Y14-25</f>
        <v>1661</v>
      </c>
      <c r="Z15" s="6"/>
      <c r="AA15" s="96"/>
      <c r="AB15" s="95"/>
      <c r="AC15" s="70" t="s">
        <v>95</v>
      </c>
      <c r="AD15" s="94" t="s">
        <v>171</v>
      </c>
      <c r="AE15" s="99" t="s">
        <v>166</v>
      </c>
      <c r="AF15" s="115">
        <v>231.3</v>
      </c>
      <c r="AG15" s="2"/>
    </row>
    <row r="16" spans="1:33" ht="14.4" x14ac:dyDescent="0.3">
      <c r="A16" s="20" t="s">
        <v>64</v>
      </c>
      <c r="B16" s="23"/>
      <c r="C16" s="8"/>
      <c r="D16" s="23" t="s">
        <v>23</v>
      </c>
      <c r="E16" s="126" t="s">
        <v>239</v>
      </c>
      <c r="F16" s="127" t="s">
        <v>240</v>
      </c>
      <c r="G16" s="126" t="s">
        <v>241</v>
      </c>
      <c r="H16" s="9" t="s">
        <v>24</v>
      </c>
      <c r="I16" s="6"/>
      <c r="J16" s="6"/>
      <c r="K16" s="6"/>
      <c r="L16" s="6"/>
      <c r="M16" s="6"/>
      <c r="N16" s="6">
        <v>4</v>
      </c>
      <c r="O16" s="6">
        <v>4</v>
      </c>
      <c r="P16" s="86">
        <v>0.26700000000000002</v>
      </c>
      <c r="Q16" s="6"/>
      <c r="R16" s="6"/>
      <c r="S16" s="6"/>
      <c r="T16" s="44">
        <f t="shared" si="0"/>
        <v>301</v>
      </c>
      <c r="U16" s="107">
        <f t="shared" si="0"/>
        <v>400</v>
      </c>
      <c r="V16" s="108">
        <f t="shared" si="2"/>
        <v>6545</v>
      </c>
      <c r="W16" s="108">
        <f t="shared" si="1"/>
        <v>4909</v>
      </c>
      <c r="X16" s="108">
        <f t="shared" si="3"/>
        <v>3273</v>
      </c>
      <c r="Y16" s="108">
        <f t="shared" si="4"/>
        <v>1636</v>
      </c>
      <c r="Z16" s="6"/>
      <c r="AA16" s="96"/>
      <c r="AB16" s="95"/>
      <c r="AC16" s="70" t="s">
        <v>96</v>
      </c>
      <c r="AD16" s="94" t="s">
        <v>172</v>
      </c>
      <c r="AE16" s="99" t="s">
        <v>166</v>
      </c>
      <c r="AF16" s="115">
        <v>507.9</v>
      </c>
      <c r="AG16" s="2"/>
    </row>
    <row r="17" spans="1:33" ht="14.4" x14ac:dyDescent="0.3">
      <c r="A17" s="8" t="s">
        <v>25</v>
      </c>
      <c r="B17" s="123">
        <f>VLOOKUP($E$17,$AD$9:$AF$88,3,FALSE)</f>
        <v>0</v>
      </c>
      <c r="C17" s="8"/>
      <c r="D17" s="16">
        <f>SUM($B$17*$B$23)</f>
        <v>0</v>
      </c>
      <c r="E17" s="124" t="s">
        <v>249</v>
      </c>
      <c r="F17" s="125" t="s">
        <v>249</v>
      </c>
      <c r="G17" s="124" t="s">
        <v>249</v>
      </c>
      <c r="H17" s="6"/>
      <c r="I17" s="11">
        <f>ROUND($B$37*$I$15,0)</f>
        <v>3242</v>
      </c>
      <c r="J17" s="6"/>
      <c r="K17" s="6"/>
      <c r="L17" s="6"/>
      <c r="M17" s="6"/>
      <c r="N17" s="6">
        <v>5</v>
      </c>
      <c r="O17" s="6">
        <v>5</v>
      </c>
      <c r="P17" s="86">
        <v>0.33300000000000002</v>
      </c>
      <c r="Q17" s="6"/>
      <c r="R17" s="6"/>
      <c r="S17" s="6"/>
      <c r="T17" s="45">
        <f t="shared" si="0"/>
        <v>401</v>
      </c>
      <c r="U17" s="109">
        <f t="shared" si="0"/>
        <v>500</v>
      </c>
      <c r="V17" s="110">
        <f t="shared" si="2"/>
        <v>6445</v>
      </c>
      <c r="W17" s="110">
        <f t="shared" si="1"/>
        <v>4834</v>
      </c>
      <c r="X17" s="110">
        <f t="shared" si="3"/>
        <v>3223</v>
      </c>
      <c r="Y17" s="110">
        <f t="shared" si="4"/>
        <v>1611</v>
      </c>
      <c r="Z17" s="6"/>
      <c r="AA17" s="96"/>
      <c r="AB17" s="95"/>
      <c r="AC17" s="70" t="s">
        <v>97</v>
      </c>
      <c r="AD17" s="94" t="s">
        <v>173</v>
      </c>
      <c r="AE17" s="99" t="s">
        <v>166</v>
      </c>
      <c r="AF17" s="115">
        <v>337.66666666666669</v>
      </c>
      <c r="AG17" s="2"/>
    </row>
    <row r="18" spans="1:33" ht="14.4" x14ac:dyDescent="0.3">
      <c r="A18" s="8" t="s">
        <v>26</v>
      </c>
      <c r="B18" s="123">
        <f>VLOOKUP($F$17,$AD$9:$AF$88,3,FALSE)</f>
        <v>0</v>
      </c>
      <c r="C18" s="8"/>
      <c r="D18" s="16">
        <f>SUM($B$18*$B$24)</f>
        <v>0</v>
      </c>
      <c r="E18" s="6"/>
      <c r="F18" s="11"/>
      <c r="G18" s="6"/>
      <c r="H18" s="9" t="s">
        <v>27</v>
      </c>
      <c r="I18" s="6"/>
      <c r="J18" s="6"/>
      <c r="K18" s="6"/>
      <c r="L18" s="6"/>
      <c r="M18" s="6"/>
      <c r="N18" s="6">
        <v>6</v>
      </c>
      <c r="O18" s="6">
        <v>6</v>
      </c>
      <c r="P18" s="86">
        <v>0.4</v>
      </c>
      <c r="Q18" s="6"/>
      <c r="R18" s="6"/>
      <c r="S18" s="6"/>
      <c r="T18" s="44">
        <f t="shared" si="0"/>
        <v>501</v>
      </c>
      <c r="U18" s="107">
        <f t="shared" si="0"/>
        <v>600</v>
      </c>
      <c r="V18" s="108">
        <f t="shared" si="2"/>
        <v>6345</v>
      </c>
      <c r="W18" s="108">
        <f t="shared" si="1"/>
        <v>4759</v>
      </c>
      <c r="X18" s="108">
        <f t="shared" si="3"/>
        <v>3173</v>
      </c>
      <c r="Y18" s="108">
        <f t="shared" si="4"/>
        <v>1586</v>
      </c>
      <c r="Z18" s="6"/>
      <c r="AA18" s="96"/>
      <c r="AB18" s="95"/>
      <c r="AC18" s="70" t="s">
        <v>98</v>
      </c>
      <c r="AD18" s="94" t="s">
        <v>174</v>
      </c>
      <c r="AE18" s="99" t="s">
        <v>166</v>
      </c>
      <c r="AF18" s="115">
        <v>967</v>
      </c>
      <c r="AG18" s="2"/>
    </row>
    <row r="19" spans="1:33" ht="14.4" x14ac:dyDescent="0.3">
      <c r="A19" s="31" t="s">
        <v>56</v>
      </c>
      <c r="B19" s="123">
        <f>VLOOKUP($G$17,$AD$9:$AF$88,3,FALSE)</f>
        <v>0</v>
      </c>
      <c r="C19" s="6"/>
      <c r="D19" s="16">
        <f>SUM($B$19*$B$25)</f>
        <v>0</v>
      </c>
      <c r="E19" s="11"/>
      <c r="F19" s="11"/>
      <c r="G19" s="6"/>
      <c r="H19" s="6"/>
      <c r="I19" s="11">
        <f>IF($D$20&gt;$I$17,$I$17,$D$20)</f>
        <v>0</v>
      </c>
      <c r="J19" s="6"/>
      <c r="K19" s="6"/>
      <c r="L19" s="6"/>
      <c r="M19" s="6"/>
      <c r="N19" s="6">
        <v>7</v>
      </c>
      <c r="O19" s="6">
        <v>7</v>
      </c>
      <c r="P19" s="86">
        <v>0.46700000000000003</v>
      </c>
      <c r="Q19" s="6"/>
      <c r="R19" s="6"/>
      <c r="S19" s="6"/>
      <c r="T19" s="45">
        <f t="shared" si="0"/>
        <v>601</v>
      </c>
      <c r="U19" s="109">
        <f t="shared" si="0"/>
        <v>700</v>
      </c>
      <c r="V19" s="110">
        <f t="shared" si="2"/>
        <v>6245</v>
      </c>
      <c r="W19" s="110">
        <f t="shared" si="1"/>
        <v>4684</v>
      </c>
      <c r="X19" s="110">
        <f t="shared" si="3"/>
        <v>3123</v>
      </c>
      <c r="Y19" s="110">
        <f t="shared" si="4"/>
        <v>1561</v>
      </c>
      <c r="Z19" s="6"/>
      <c r="AA19" s="96"/>
      <c r="AB19" s="95"/>
      <c r="AC19" s="70" t="s">
        <v>99</v>
      </c>
      <c r="AD19" s="94" t="s">
        <v>70</v>
      </c>
      <c r="AE19" s="99" t="s">
        <v>166</v>
      </c>
      <c r="AF19" s="115">
        <v>1375.6666666666667</v>
      </c>
      <c r="AG19" s="2"/>
    </row>
    <row r="20" spans="1:33" ht="14.4" x14ac:dyDescent="0.3">
      <c r="A20" s="9"/>
      <c r="B20" s="6"/>
      <c r="C20" s="8" t="s">
        <v>52</v>
      </c>
      <c r="D20" s="32">
        <f>ROUND(D17+D18+D19,0)</f>
        <v>0</v>
      </c>
      <c r="E20" s="23"/>
      <c r="F20" s="11"/>
      <c r="G20" s="6"/>
      <c r="H20" s="9" t="s">
        <v>47</v>
      </c>
      <c r="I20" s="6"/>
      <c r="J20" s="6"/>
      <c r="K20" s="6"/>
      <c r="L20" s="6"/>
      <c r="M20" s="6"/>
      <c r="N20" s="6">
        <v>8</v>
      </c>
      <c r="O20" s="6">
        <v>8</v>
      </c>
      <c r="P20" s="87">
        <v>0.53300000000000003</v>
      </c>
      <c r="Q20" s="6"/>
      <c r="R20" s="6"/>
      <c r="S20" s="6"/>
      <c r="T20" s="44">
        <f t="shared" si="0"/>
        <v>701</v>
      </c>
      <c r="U20" s="107">
        <f t="shared" si="0"/>
        <v>800</v>
      </c>
      <c r="V20" s="108">
        <f t="shared" si="2"/>
        <v>6145</v>
      </c>
      <c r="W20" s="108">
        <f t="shared" si="1"/>
        <v>4609</v>
      </c>
      <c r="X20" s="108">
        <f t="shared" si="3"/>
        <v>3073</v>
      </c>
      <c r="Y20" s="108">
        <f t="shared" si="4"/>
        <v>1536</v>
      </c>
      <c r="Z20" s="6"/>
      <c r="AA20" s="96"/>
      <c r="AB20" s="95"/>
      <c r="AC20" s="70" t="s">
        <v>100</v>
      </c>
      <c r="AD20" s="94" t="s">
        <v>71</v>
      </c>
      <c r="AE20" s="99" t="s">
        <v>167</v>
      </c>
      <c r="AF20" s="115">
        <v>1391.8666666666666</v>
      </c>
      <c r="AG20" s="2"/>
    </row>
    <row r="21" spans="1:33" ht="14.4" x14ac:dyDescent="0.3">
      <c r="A21" s="6"/>
      <c r="B21" s="6"/>
      <c r="C21" s="6"/>
      <c r="D21" s="6"/>
      <c r="E21" s="11"/>
      <c r="F21" s="11"/>
      <c r="G21" s="6"/>
      <c r="H21" s="6"/>
      <c r="I21" s="11">
        <f>ROUND($B$40*$I$15,0)</f>
        <v>5709</v>
      </c>
      <c r="J21" s="6"/>
      <c r="K21" s="6"/>
      <c r="L21" s="6"/>
      <c r="M21" s="6"/>
      <c r="N21" s="6">
        <v>9</v>
      </c>
      <c r="O21" s="6">
        <v>9</v>
      </c>
      <c r="P21" s="86">
        <v>0.6</v>
      </c>
      <c r="Q21" s="6"/>
      <c r="R21" s="6"/>
      <c r="S21" s="6"/>
      <c r="T21" s="45">
        <f t="shared" si="0"/>
        <v>801</v>
      </c>
      <c r="U21" s="109">
        <f t="shared" si="0"/>
        <v>900</v>
      </c>
      <c r="V21" s="110">
        <f t="shared" si="2"/>
        <v>6045</v>
      </c>
      <c r="W21" s="110">
        <f t="shared" si="1"/>
        <v>4534</v>
      </c>
      <c r="X21" s="110">
        <f t="shared" si="3"/>
        <v>3023</v>
      </c>
      <c r="Y21" s="110">
        <f t="shared" si="4"/>
        <v>1511</v>
      </c>
      <c r="Z21" s="6"/>
      <c r="AA21" s="96"/>
      <c r="AB21" s="95"/>
      <c r="AC21" s="70" t="s">
        <v>101</v>
      </c>
      <c r="AD21" s="94" t="s">
        <v>72</v>
      </c>
      <c r="AE21" s="99" t="s">
        <v>166</v>
      </c>
      <c r="AF21" s="115">
        <v>204.63333333333333</v>
      </c>
      <c r="AG21" s="2"/>
    </row>
    <row r="22" spans="1:33" ht="14.4" x14ac:dyDescent="0.3">
      <c r="A22" s="6"/>
      <c r="B22" s="88" t="s">
        <v>242</v>
      </c>
      <c r="C22" s="6"/>
      <c r="D22" s="6"/>
      <c r="E22" s="11"/>
      <c r="F22" s="11"/>
      <c r="G22" s="11"/>
      <c r="H22" s="6"/>
      <c r="I22" s="11"/>
      <c r="J22" s="11"/>
      <c r="K22" s="11"/>
      <c r="L22" s="11"/>
      <c r="M22" s="11"/>
      <c r="N22" s="6">
        <v>10</v>
      </c>
      <c r="O22" s="6">
        <v>10</v>
      </c>
      <c r="P22" s="86">
        <v>0.66700000000000004</v>
      </c>
      <c r="Q22" s="6"/>
      <c r="R22" s="6"/>
      <c r="S22" s="6"/>
      <c r="T22" s="44">
        <f t="shared" si="0"/>
        <v>901</v>
      </c>
      <c r="U22" s="107">
        <f t="shared" si="0"/>
        <v>1000</v>
      </c>
      <c r="V22" s="108">
        <f t="shared" si="2"/>
        <v>5945</v>
      </c>
      <c r="W22" s="108">
        <f t="shared" si="1"/>
        <v>4459</v>
      </c>
      <c r="X22" s="108">
        <f t="shared" si="3"/>
        <v>2973</v>
      </c>
      <c r="Y22" s="108">
        <f t="shared" si="4"/>
        <v>1486</v>
      </c>
      <c r="Z22" s="6"/>
      <c r="AA22" s="96"/>
      <c r="AB22" s="95"/>
      <c r="AC22" s="70" t="s">
        <v>102</v>
      </c>
      <c r="AD22" s="94" t="s">
        <v>73</v>
      </c>
      <c r="AE22" s="99" t="s">
        <v>166</v>
      </c>
      <c r="AF22" s="115">
        <v>203.6</v>
      </c>
      <c r="AG22" s="2"/>
    </row>
    <row r="23" spans="1:33" ht="14.4" x14ac:dyDescent="0.3">
      <c r="A23" s="8" t="s">
        <v>28</v>
      </c>
      <c r="B23" s="5">
        <v>8</v>
      </c>
      <c r="C23" s="6"/>
      <c r="D23" s="11"/>
      <c r="E23" s="11"/>
      <c r="F23" s="11"/>
      <c r="G23" s="11"/>
      <c r="H23" s="11"/>
      <c r="I23" s="11">
        <f>SUM($I$19+$I$21)</f>
        <v>5709</v>
      </c>
      <c r="J23" s="14" t="s">
        <v>31</v>
      </c>
      <c r="K23" s="11"/>
      <c r="L23" s="11"/>
      <c r="M23" s="11"/>
      <c r="N23" s="6">
        <v>11</v>
      </c>
      <c r="O23" s="6">
        <v>11</v>
      </c>
      <c r="P23" s="86">
        <v>0.73299999999999998</v>
      </c>
      <c r="Q23" s="6"/>
      <c r="R23" s="6"/>
      <c r="S23" s="6"/>
      <c r="T23" s="45">
        <f t="shared" si="0"/>
        <v>1001</v>
      </c>
      <c r="U23" s="109">
        <f t="shared" si="0"/>
        <v>1100</v>
      </c>
      <c r="V23" s="110">
        <f t="shared" si="2"/>
        <v>5845</v>
      </c>
      <c r="W23" s="110">
        <f t="shared" si="1"/>
        <v>4384</v>
      </c>
      <c r="X23" s="110">
        <f t="shared" si="3"/>
        <v>2923</v>
      </c>
      <c r="Y23" s="110">
        <f t="shared" si="4"/>
        <v>1461</v>
      </c>
      <c r="Z23" s="6"/>
      <c r="AA23" s="96"/>
      <c r="AB23" s="95"/>
      <c r="AC23" s="70" t="s">
        <v>103</v>
      </c>
      <c r="AD23" s="94" t="s">
        <v>74</v>
      </c>
      <c r="AE23" s="99" t="s">
        <v>166</v>
      </c>
      <c r="AF23" s="115">
        <v>1736.9333333333334</v>
      </c>
      <c r="AG23" s="2"/>
    </row>
    <row r="24" spans="1:33" ht="15.6" x14ac:dyDescent="0.3">
      <c r="A24" s="8" t="s">
        <v>29</v>
      </c>
      <c r="B24" s="5">
        <v>7</v>
      </c>
      <c r="C24" s="6"/>
      <c r="D24" s="6"/>
      <c r="E24" s="6"/>
      <c r="F24" s="11"/>
      <c r="G24" s="11"/>
      <c r="H24" s="33" t="s">
        <v>32</v>
      </c>
      <c r="I24" s="11">
        <f>ROUND($I$23*0.5,0)</f>
        <v>2855</v>
      </c>
      <c r="J24" s="11" t="s">
        <v>48</v>
      </c>
      <c r="K24" s="11"/>
      <c r="L24" s="11"/>
      <c r="M24" s="11"/>
      <c r="N24" s="6">
        <v>12</v>
      </c>
      <c r="O24" s="6">
        <v>12</v>
      </c>
      <c r="P24" s="86">
        <v>0.8</v>
      </c>
      <c r="Q24" s="6"/>
      <c r="R24" s="6"/>
      <c r="S24" s="6"/>
      <c r="T24" s="44">
        <f t="shared" si="0"/>
        <v>1101</v>
      </c>
      <c r="U24" s="107">
        <f t="shared" si="0"/>
        <v>1200</v>
      </c>
      <c r="V24" s="108">
        <f t="shared" si="2"/>
        <v>5745</v>
      </c>
      <c r="W24" s="108">
        <f t="shared" si="1"/>
        <v>4309</v>
      </c>
      <c r="X24" s="108">
        <f t="shared" si="3"/>
        <v>2873</v>
      </c>
      <c r="Y24" s="108">
        <f t="shared" si="4"/>
        <v>1436</v>
      </c>
      <c r="Z24" s="6"/>
      <c r="AA24" s="96"/>
      <c r="AB24" s="95"/>
      <c r="AC24" s="70" t="s">
        <v>104</v>
      </c>
      <c r="AD24" s="94" t="s">
        <v>75</v>
      </c>
      <c r="AE24" s="99" t="s">
        <v>166</v>
      </c>
      <c r="AF24" s="115">
        <v>1097.4666666666667</v>
      </c>
      <c r="AG24" s="2"/>
    </row>
    <row r="25" spans="1:33" ht="15.6" x14ac:dyDescent="0.3">
      <c r="A25" s="20" t="s">
        <v>57</v>
      </c>
      <c r="B25" s="42">
        <v>0</v>
      </c>
      <c r="C25" s="6"/>
      <c r="D25" s="6"/>
      <c r="E25" s="6"/>
      <c r="F25" s="11"/>
      <c r="G25" s="11"/>
      <c r="H25" s="34" t="s">
        <v>32</v>
      </c>
      <c r="I25" s="35">
        <f>IF(OR($B$13="D",$B$13="d"),$B$11/$B$32*0.79,0)</f>
        <v>0</v>
      </c>
      <c r="J25" s="11" t="s">
        <v>33</v>
      </c>
      <c r="K25" s="11"/>
      <c r="L25" s="11"/>
      <c r="M25" s="11"/>
      <c r="N25" s="6">
        <v>13</v>
      </c>
      <c r="O25" s="6">
        <v>13</v>
      </c>
      <c r="P25" s="86">
        <v>0.86699999999999999</v>
      </c>
      <c r="Q25" s="6"/>
      <c r="R25" s="6"/>
      <c r="S25" s="6"/>
      <c r="T25" s="45">
        <f t="shared" si="0"/>
        <v>1201</v>
      </c>
      <c r="U25" s="109">
        <f t="shared" si="0"/>
        <v>1300</v>
      </c>
      <c r="V25" s="110">
        <f t="shared" si="2"/>
        <v>5645</v>
      </c>
      <c r="W25" s="110">
        <f t="shared" si="1"/>
        <v>4234</v>
      </c>
      <c r="X25" s="110">
        <f t="shared" si="3"/>
        <v>2823</v>
      </c>
      <c r="Y25" s="110">
        <f t="shared" si="4"/>
        <v>1411</v>
      </c>
      <c r="Z25" s="6"/>
      <c r="AA25" s="96"/>
      <c r="AB25" s="95"/>
      <c r="AC25" s="70" t="s">
        <v>106</v>
      </c>
      <c r="AD25" s="94" t="s">
        <v>175</v>
      </c>
      <c r="AE25" s="99" t="s">
        <v>166</v>
      </c>
      <c r="AF25" s="115">
        <v>813.33333333333337</v>
      </c>
      <c r="AG25" s="2"/>
    </row>
    <row r="26" spans="1:33" ht="15.6" x14ac:dyDescent="0.3">
      <c r="A26" s="9" t="s">
        <v>30</v>
      </c>
      <c r="B26" s="36">
        <f>SUM(B23+B24+B25)</f>
        <v>15</v>
      </c>
      <c r="C26" s="6" t="s">
        <v>55</v>
      </c>
      <c r="D26" s="6"/>
      <c r="E26" s="6"/>
      <c r="F26" s="11"/>
      <c r="G26" s="11"/>
      <c r="H26" s="34" t="s">
        <v>32</v>
      </c>
      <c r="I26" s="35">
        <f>IF(OR($B$13="D",$B$13="d"),0,$P$37)</f>
        <v>0</v>
      </c>
      <c r="J26" s="11" t="s">
        <v>35</v>
      </c>
      <c r="K26" s="11"/>
      <c r="L26" s="11"/>
      <c r="M26" s="11"/>
      <c r="N26" s="6">
        <v>14</v>
      </c>
      <c r="O26" s="6">
        <v>14</v>
      </c>
      <c r="P26" s="86">
        <v>0.93300000000000005</v>
      </c>
      <c r="Q26" s="6"/>
      <c r="R26" s="6"/>
      <c r="S26" s="6"/>
      <c r="T26" s="44">
        <f t="shared" si="0"/>
        <v>1301</v>
      </c>
      <c r="U26" s="107">
        <f t="shared" si="0"/>
        <v>1400</v>
      </c>
      <c r="V26" s="108">
        <f t="shared" si="2"/>
        <v>5545</v>
      </c>
      <c r="W26" s="108">
        <f t="shared" si="1"/>
        <v>4159</v>
      </c>
      <c r="X26" s="108">
        <f t="shared" si="3"/>
        <v>2773</v>
      </c>
      <c r="Y26" s="108">
        <f t="shared" si="4"/>
        <v>1386</v>
      </c>
      <c r="Z26" s="6"/>
      <c r="AA26" s="96"/>
      <c r="AB26" s="95"/>
      <c r="AC26" s="70" t="s">
        <v>105</v>
      </c>
      <c r="AD26" s="94" t="s">
        <v>176</v>
      </c>
      <c r="AE26" s="99" t="s">
        <v>166</v>
      </c>
      <c r="AF26" s="115">
        <v>963.86666666666667</v>
      </c>
      <c r="AG26" s="2"/>
    </row>
    <row r="27" spans="1:33" ht="15.6" x14ac:dyDescent="0.3">
      <c r="A27" s="6"/>
      <c r="B27" s="6"/>
      <c r="C27" s="6"/>
      <c r="D27" s="6"/>
      <c r="E27" s="6"/>
      <c r="F27" s="11"/>
      <c r="G27" s="11"/>
      <c r="H27" s="33" t="s">
        <v>32</v>
      </c>
      <c r="I27" s="11">
        <f>VLOOKUP($B$26,$G$9:$K$12,5,1)</f>
        <v>3448</v>
      </c>
      <c r="J27" s="11" t="s">
        <v>49</v>
      </c>
      <c r="K27" s="11"/>
      <c r="L27" s="11"/>
      <c r="M27" s="11"/>
      <c r="N27" s="6">
        <v>15</v>
      </c>
      <c r="O27" s="6">
        <v>9999</v>
      </c>
      <c r="P27" s="86">
        <v>1</v>
      </c>
      <c r="Q27" s="6"/>
      <c r="R27" s="6" t="s">
        <v>36</v>
      </c>
      <c r="S27" s="6"/>
      <c r="T27" s="45">
        <f t="shared" si="0"/>
        <v>1401</v>
      </c>
      <c r="U27" s="109">
        <f t="shared" si="0"/>
        <v>1500</v>
      </c>
      <c r="V27" s="110">
        <f t="shared" si="2"/>
        <v>5445</v>
      </c>
      <c r="W27" s="110">
        <f t="shared" si="1"/>
        <v>4084</v>
      </c>
      <c r="X27" s="110">
        <f t="shared" si="3"/>
        <v>2723</v>
      </c>
      <c r="Y27" s="110">
        <f t="shared" si="4"/>
        <v>1361</v>
      </c>
      <c r="Z27" s="6"/>
      <c r="AA27" s="96"/>
      <c r="AB27" s="95"/>
      <c r="AC27" s="70" t="s">
        <v>107</v>
      </c>
      <c r="AD27" s="94" t="s">
        <v>76</v>
      </c>
      <c r="AE27" s="99" t="s">
        <v>166</v>
      </c>
      <c r="AF27" s="115">
        <v>974.33333333333337</v>
      </c>
      <c r="AG27" s="2"/>
    </row>
    <row r="28" spans="1:33" ht="21" x14ac:dyDescent="0.4">
      <c r="A28" s="22" t="s">
        <v>34</v>
      </c>
      <c r="B28" s="6"/>
      <c r="C28" s="6"/>
      <c r="D28" s="11"/>
      <c r="E28" s="6"/>
      <c r="F28" s="11"/>
      <c r="G28" s="11"/>
      <c r="H28" s="33" t="s">
        <v>38</v>
      </c>
      <c r="I28" s="11">
        <f>SUM(I23-I24-I25-I26-I27)</f>
        <v>-594</v>
      </c>
      <c r="J28" s="11" t="s">
        <v>39</v>
      </c>
      <c r="K28" s="11"/>
      <c r="L28" s="11"/>
      <c r="M28" s="11"/>
      <c r="N28" s="11"/>
      <c r="O28" s="6"/>
      <c r="P28" s="6"/>
      <c r="Q28" s="6"/>
      <c r="R28" s="6"/>
      <c r="S28" s="6"/>
      <c r="T28" s="44">
        <f t="shared" si="0"/>
        <v>1501</v>
      </c>
      <c r="U28" s="107">
        <f t="shared" si="0"/>
        <v>1600</v>
      </c>
      <c r="V28" s="108">
        <f t="shared" si="2"/>
        <v>5345</v>
      </c>
      <c r="W28" s="108">
        <f t="shared" si="1"/>
        <v>4009</v>
      </c>
      <c r="X28" s="108">
        <f t="shared" si="3"/>
        <v>2673</v>
      </c>
      <c r="Y28" s="108">
        <f t="shared" si="4"/>
        <v>1336</v>
      </c>
      <c r="Z28" s="6"/>
      <c r="AA28" s="96"/>
      <c r="AB28" s="95"/>
      <c r="AC28" s="70" t="s">
        <v>108</v>
      </c>
      <c r="AD28" s="94" t="s">
        <v>177</v>
      </c>
      <c r="AE28" s="99" t="s">
        <v>166</v>
      </c>
      <c r="AF28" s="115">
        <v>213.96666666666667</v>
      </c>
      <c r="AG28" s="2"/>
    </row>
    <row r="29" spans="1:33" ht="21" x14ac:dyDescent="0.4">
      <c r="A29" s="6"/>
      <c r="B29" s="6"/>
      <c r="C29" s="6"/>
      <c r="D29" s="11"/>
      <c r="E29" s="6"/>
      <c r="F29" s="11"/>
      <c r="G29" s="11"/>
      <c r="H29" s="37" t="s">
        <v>38</v>
      </c>
      <c r="I29" s="61">
        <f>IF($I$28&lt;$P$33,0,$I$28)</f>
        <v>0</v>
      </c>
      <c r="J29" s="38" t="s">
        <v>66</v>
      </c>
      <c r="K29" s="38"/>
      <c r="L29" s="38"/>
      <c r="M29" s="11"/>
      <c r="N29" s="11"/>
      <c r="O29" s="6"/>
      <c r="P29" s="6"/>
      <c r="Q29" s="6"/>
      <c r="R29" s="6"/>
      <c r="S29" s="6"/>
      <c r="T29" s="45">
        <f t="shared" si="0"/>
        <v>1601</v>
      </c>
      <c r="U29" s="109">
        <f t="shared" si="0"/>
        <v>1700</v>
      </c>
      <c r="V29" s="110">
        <f t="shared" si="2"/>
        <v>5245</v>
      </c>
      <c r="W29" s="110">
        <f t="shared" si="1"/>
        <v>3934</v>
      </c>
      <c r="X29" s="110">
        <f t="shared" si="3"/>
        <v>2623</v>
      </c>
      <c r="Y29" s="110">
        <f t="shared" si="4"/>
        <v>1311</v>
      </c>
      <c r="Z29" s="6"/>
      <c r="AA29" s="96"/>
      <c r="AB29" s="95"/>
      <c r="AC29" s="70" t="s">
        <v>109</v>
      </c>
      <c r="AD29" s="94" t="s">
        <v>178</v>
      </c>
      <c r="AE29" s="99" t="s">
        <v>166</v>
      </c>
      <c r="AF29" s="115">
        <v>811.43333333333328</v>
      </c>
      <c r="AG29" s="2"/>
    </row>
    <row r="30" spans="1:33" ht="14.4" x14ac:dyDescent="0.3">
      <c r="A30" s="13" t="s">
        <v>37</v>
      </c>
      <c r="B30" s="6"/>
      <c r="C30" s="6"/>
      <c r="D30" s="11"/>
      <c r="E30" s="11"/>
      <c r="F30" s="6"/>
      <c r="G30" s="6"/>
      <c r="H30" s="11"/>
      <c r="I30" s="11"/>
      <c r="J30" s="11" t="s">
        <v>50</v>
      </c>
      <c r="K30" s="11"/>
      <c r="L30" s="11"/>
      <c r="M30" s="11"/>
      <c r="N30" s="11"/>
      <c r="O30" s="9" t="s">
        <v>40</v>
      </c>
      <c r="P30" s="6"/>
      <c r="Q30" s="6"/>
      <c r="R30" s="6"/>
      <c r="S30" s="6"/>
      <c r="T30" s="44">
        <f t="shared" ref="T30:U41" si="5">100+T29</f>
        <v>1701</v>
      </c>
      <c r="U30" s="107">
        <f t="shared" si="5"/>
        <v>1800</v>
      </c>
      <c r="V30" s="108">
        <f t="shared" si="2"/>
        <v>5145</v>
      </c>
      <c r="W30" s="108">
        <f t="shared" si="1"/>
        <v>3859</v>
      </c>
      <c r="X30" s="108">
        <f t="shared" si="3"/>
        <v>2573</v>
      </c>
      <c r="Y30" s="108">
        <f t="shared" si="4"/>
        <v>1286</v>
      </c>
      <c r="Z30" s="6"/>
      <c r="AA30" s="96"/>
      <c r="AB30" s="95"/>
      <c r="AC30" s="70" t="s">
        <v>221</v>
      </c>
      <c r="AD30" s="94" t="s">
        <v>222</v>
      </c>
      <c r="AE30" s="99" t="s">
        <v>166</v>
      </c>
      <c r="AF30" s="115">
        <v>412.5</v>
      </c>
      <c r="AG30" s="2"/>
    </row>
    <row r="31" spans="1:33" ht="14.4" x14ac:dyDescent="0.3">
      <c r="A31" s="13" t="s">
        <v>53</v>
      </c>
      <c r="B31" s="6"/>
      <c r="C31" s="6"/>
      <c r="D31" s="11"/>
      <c r="E31" s="11"/>
      <c r="F31" s="10"/>
      <c r="G31" s="10"/>
      <c r="H31" s="6"/>
      <c r="I31" s="6"/>
      <c r="J31" s="11" t="s">
        <v>51</v>
      </c>
      <c r="K31" s="6"/>
      <c r="L31" s="6"/>
      <c r="M31" s="6"/>
      <c r="N31" s="11"/>
      <c r="O31" s="6">
        <v>2</v>
      </c>
      <c r="P31" s="11">
        <v>50</v>
      </c>
      <c r="Q31" s="6"/>
      <c r="R31" s="6"/>
      <c r="S31" s="6"/>
      <c r="T31" s="45">
        <f t="shared" si="5"/>
        <v>1801</v>
      </c>
      <c r="U31" s="109">
        <f t="shared" si="5"/>
        <v>1900</v>
      </c>
      <c r="V31" s="110">
        <f t="shared" si="2"/>
        <v>5045</v>
      </c>
      <c r="W31" s="110">
        <f t="shared" si="1"/>
        <v>3784</v>
      </c>
      <c r="X31" s="110">
        <f t="shared" si="3"/>
        <v>2523</v>
      </c>
      <c r="Y31" s="110">
        <f t="shared" si="4"/>
        <v>1261</v>
      </c>
      <c r="Z31" s="6"/>
      <c r="AA31" s="96"/>
      <c r="AB31" s="95"/>
      <c r="AC31" s="70" t="s">
        <v>223</v>
      </c>
      <c r="AD31" s="94" t="s">
        <v>224</v>
      </c>
      <c r="AE31" s="99" t="s">
        <v>166</v>
      </c>
      <c r="AF31" s="115">
        <v>399.3</v>
      </c>
      <c r="AG31" s="2"/>
    </row>
    <row r="32" spans="1:33" ht="14.4" x14ac:dyDescent="0.3">
      <c r="A32" s="6"/>
      <c r="B32" s="3">
        <v>2</v>
      </c>
      <c r="C32" s="6"/>
      <c r="D32" s="6"/>
      <c r="E32" s="11"/>
      <c r="F32" s="10"/>
      <c r="G32" s="10"/>
      <c r="H32" s="6"/>
      <c r="I32" s="6"/>
      <c r="J32" s="6"/>
      <c r="K32" s="6"/>
      <c r="L32" s="6"/>
      <c r="M32" s="6"/>
      <c r="N32" s="11"/>
      <c r="O32" s="6">
        <v>3</v>
      </c>
      <c r="P32" s="11">
        <v>33</v>
      </c>
      <c r="Q32" s="6"/>
      <c r="R32" s="6"/>
      <c r="S32" s="6"/>
      <c r="T32" s="44">
        <f t="shared" si="5"/>
        <v>1901</v>
      </c>
      <c r="U32" s="107">
        <f t="shared" si="5"/>
        <v>2000</v>
      </c>
      <c r="V32" s="108">
        <f t="shared" si="2"/>
        <v>4945</v>
      </c>
      <c r="W32" s="108">
        <f t="shared" si="1"/>
        <v>3709</v>
      </c>
      <c r="X32" s="108">
        <f t="shared" si="3"/>
        <v>2473</v>
      </c>
      <c r="Y32" s="108">
        <f t="shared" si="4"/>
        <v>1236</v>
      </c>
      <c r="Z32" s="6"/>
      <c r="AA32" s="96"/>
      <c r="AB32" s="95"/>
      <c r="AC32" s="70" t="s">
        <v>110</v>
      </c>
      <c r="AD32" s="94" t="s">
        <v>179</v>
      </c>
      <c r="AE32" s="99" t="s">
        <v>166</v>
      </c>
      <c r="AF32" s="115">
        <v>199.93333333333334</v>
      </c>
      <c r="AG32" s="2"/>
    </row>
    <row r="33" spans="1:33" ht="14.4" x14ac:dyDescent="0.3">
      <c r="A33" s="6"/>
      <c r="B33" s="6" t="s">
        <v>0</v>
      </c>
      <c r="C33" s="6"/>
      <c r="D33" s="6"/>
      <c r="E33" s="6"/>
      <c r="F33" s="11"/>
      <c r="G33" s="11"/>
      <c r="H33" s="14" t="s">
        <v>230</v>
      </c>
      <c r="I33" s="11"/>
      <c r="J33" s="11"/>
      <c r="K33" s="11"/>
      <c r="L33" s="11"/>
      <c r="M33" s="11"/>
      <c r="N33" s="11"/>
      <c r="O33" s="84" t="s">
        <v>233</v>
      </c>
      <c r="P33" s="11">
        <f>VLOOKUP($B$32,$O$31:$P$32,2,1)</f>
        <v>50</v>
      </c>
      <c r="Q33" s="6"/>
      <c r="R33" s="6"/>
      <c r="S33" s="6"/>
      <c r="T33" s="45">
        <f t="shared" si="5"/>
        <v>2001</v>
      </c>
      <c r="U33" s="109">
        <f t="shared" si="5"/>
        <v>2100</v>
      </c>
      <c r="V33" s="110">
        <f t="shared" si="2"/>
        <v>4845</v>
      </c>
      <c r="W33" s="110">
        <f t="shared" si="1"/>
        <v>3634</v>
      </c>
      <c r="X33" s="110">
        <f t="shared" si="3"/>
        <v>2423</v>
      </c>
      <c r="Y33" s="110">
        <f t="shared" si="4"/>
        <v>1211</v>
      </c>
      <c r="Z33" s="6"/>
      <c r="AA33" s="96"/>
      <c r="AB33" s="95"/>
      <c r="AC33" s="70" t="s">
        <v>111</v>
      </c>
      <c r="AD33" s="94" t="s">
        <v>180</v>
      </c>
      <c r="AE33" s="99" t="s">
        <v>166</v>
      </c>
      <c r="AF33" s="115">
        <v>1801.4666666666667</v>
      </c>
      <c r="AG33" s="2"/>
    </row>
    <row r="34" spans="1:33" ht="14.4" x14ac:dyDescent="0.3">
      <c r="A34" s="9" t="s">
        <v>54</v>
      </c>
      <c r="B34" s="6"/>
      <c r="C34" s="6"/>
      <c r="D34" s="6"/>
      <c r="E34" s="9"/>
      <c r="F34" s="11"/>
      <c r="G34" s="11"/>
      <c r="H34" s="30" t="s">
        <v>228</v>
      </c>
      <c r="I34" s="11">
        <v>6484</v>
      </c>
      <c r="J34" s="11"/>
      <c r="K34" s="11"/>
      <c r="L34" s="11"/>
      <c r="M34" s="11"/>
      <c r="N34" s="11"/>
      <c r="O34" s="6"/>
      <c r="P34" s="6"/>
      <c r="Q34" s="6"/>
      <c r="R34" s="6"/>
      <c r="S34" s="6"/>
      <c r="T34" s="44">
        <f t="shared" si="5"/>
        <v>2101</v>
      </c>
      <c r="U34" s="107">
        <f t="shared" si="5"/>
        <v>2200</v>
      </c>
      <c r="V34" s="108">
        <f t="shared" si="2"/>
        <v>4745</v>
      </c>
      <c r="W34" s="108">
        <f t="shared" si="1"/>
        <v>3559</v>
      </c>
      <c r="X34" s="108">
        <f t="shared" si="3"/>
        <v>2373</v>
      </c>
      <c r="Y34" s="108">
        <f t="shared" si="4"/>
        <v>1186</v>
      </c>
      <c r="Z34" s="6"/>
      <c r="AA34" s="96"/>
      <c r="AB34" s="95"/>
      <c r="AC34" s="70" t="s">
        <v>112</v>
      </c>
      <c r="AD34" s="94" t="s">
        <v>77</v>
      </c>
      <c r="AE34" s="99" t="s">
        <v>166</v>
      </c>
      <c r="AF34" s="115">
        <v>1554.7666666666667</v>
      </c>
      <c r="AG34" s="2"/>
    </row>
    <row r="35" spans="1:33" ht="14.4" x14ac:dyDescent="0.3">
      <c r="A35" s="6"/>
      <c r="B35" s="4">
        <v>2</v>
      </c>
      <c r="C35" s="77"/>
      <c r="D35" s="77"/>
      <c r="E35" s="10"/>
      <c r="F35" s="77"/>
      <c r="G35" s="77"/>
      <c r="H35" s="36" t="s">
        <v>229</v>
      </c>
      <c r="I35" s="11">
        <v>16106</v>
      </c>
      <c r="J35" s="6"/>
      <c r="K35" s="6"/>
      <c r="L35" s="6"/>
      <c r="M35" s="6"/>
      <c r="N35" s="6"/>
      <c r="O35" s="9" t="s">
        <v>42</v>
      </c>
      <c r="P35" s="6"/>
      <c r="Q35" s="6"/>
      <c r="R35" s="6"/>
      <c r="S35" s="6"/>
      <c r="T35" s="45">
        <f t="shared" si="5"/>
        <v>2201</v>
      </c>
      <c r="U35" s="109">
        <f t="shared" si="5"/>
        <v>2300</v>
      </c>
      <c r="V35" s="110">
        <f t="shared" si="2"/>
        <v>4645</v>
      </c>
      <c r="W35" s="110">
        <f t="shared" si="1"/>
        <v>3484</v>
      </c>
      <c r="X35" s="110">
        <f t="shared" si="3"/>
        <v>2323</v>
      </c>
      <c r="Y35" s="110">
        <f t="shared" si="4"/>
        <v>1161</v>
      </c>
      <c r="Z35" s="6"/>
      <c r="AA35" s="96"/>
      <c r="AB35" s="95"/>
      <c r="AC35" s="70" t="s">
        <v>113</v>
      </c>
      <c r="AD35" s="94" t="s">
        <v>78</v>
      </c>
      <c r="AE35" s="99" t="s">
        <v>166</v>
      </c>
      <c r="AF35" s="115">
        <v>333</v>
      </c>
      <c r="AG35" s="2"/>
    </row>
    <row r="36" spans="1:33" ht="14.4" x14ac:dyDescent="0.3">
      <c r="A36" s="6"/>
      <c r="B36" s="6"/>
      <c r="C36" s="77"/>
      <c r="D36" s="78"/>
      <c r="E36" s="77"/>
      <c r="F36" s="77"/>
      <c r="G36" s="77"/>
      <c r="H36" s="6"/>
      <c r="I36" s="6"/>
      <c r="J36" s="6"/>
      <c r="K36" s="6"/>
      <c r="L36" s="11"/>
      <c r="M36" s="6"/>
      <c r="N36" s="6"/>
      <c r="O36" s="85" t="s">
        <v>234</v>
      </c>
      <c r="P36" s="11">
        <f>ROUND($B$8/$B$32,0)</f>
        <v>0</v>
      </c>
      <c r="Q36" s="6"/>
      <c r="R36" s="6"/>
      <c r="S36" s="6"/>
      <c r="T36" s="44">
        <f t="shared" si="5"/>
        <v>2301</v>
      </c>
      <c r="U36" s="107">
        <f t="shared" si="5"/>
        <v>2400</v>
      </c>
      <c r="V36" s="108">
        <f t="shared" si="2"/>
        <v>4545</v>
      </c>
      <c r="W36" s="108">
        <f t="shared" si="1"/>
        <v>3409</v>
      </c>
      <c r="X36" s="108">
        <f t="shared" si="3"/>
        <v>2273</v>
      </c>
      <c r="Y36" s="108">
        <f t="shared" si="4"/>
        <v>1136</v>
      </c>
      <c r="Z36" s="6"/>
      <c r="AA36" s="96"/>
      <c r="AB36" s="95"/>
      <c r="AC36" s="70" t="s">
        <v>114</v>
      </c>
      <c r="AD36" s="94" t="s">
        <v>181</v>
      </c>
      <c r="AE36" s="99" t="s">
        <v>166</v>
      </c>
      <c r="AF36" s="115">
        <v>197.96666666666667</v>
      </c>
      <c r="AG36" s="2"/>
    </row>
    <row r="37" spans="1:33" ht="14.4" x14ac:dyDescent="0.3">
      <c r="A37" s="20" t="s">
        <v>231</v>
      </c>
      <c r="B37" s="67">
        <f>IF($B$35=2,$I$34/$B$32,$I$35/$B$32)</f>
        <v>3242</v>
      </c>
      <c r="C37" s="77"/>
      <c r="D37" s="78"/>
      <c r="E37" s="79"/>
      <c r="F37" s="77"/>
      <c r="G37" s="77"/>
      <c r="H37" s="20" t="s">
        <v>232</v>
      </c>
      <c r="I37" s="11">
        <v>11418</v>
      </c>
      <c r="J37" s="6"/>
      <c r="K37" s="6"/>
      <c r="L37" s="6"/>
      <c r="M37" s="6"/>
      <c r="N37" s="6"/>
      <c r="O37" s="85" t="s">
        <v>235</v>
      </c>
      <c r="P37" s="35">
        <f>IF(OR($B$13="Y",$B$13="y"),$P$36*0.71,$P$36*0.35)</f>
        <v>0</v>
      </c>
      <c r="Q37" s="6"/>
      <c r="R37" s="6"/>
      <c r="S37" s="6"/>
      <c r="T37" s="45">
        <f t="shared" si="5"/>
        <v>2401</v>
      </c>
      <c r="U37" s="109">
        <f t="shared" si="5"/>
        <v>2500</v>
      </c>
      <c r="V37" s="110">
        <f t="shared" si="2"/>
        <v>4445</v>
      </c>
      <c r="W37" s="110">
        <f t="shared" si="1"/>
        <v>3334</v>
      </c>
      <c r="X37" s="110">
        <f t="shared" si="3"/>
        <v>2223</v>
      </c>
      <c r="Y37" s="110">
        <f t="shared" si="4"/>
        <v>1111</v>
      </c>
      <c r="Z37" s="6"/>
      <c r="AA37" s="96"/>
      <c r="AB37" s="95"/>
      <c r="AC37" s="70" t="s">
        <v>115</v>
      </c>
      <c r="AD37" s="94" t="s">
        <v>79</v>
      </c>
      <c r="AE37" s="99" t="s">
        <v>166</v>
      </c>
      <c r="AF37" s="115">
        <v>653.4</v>
      </c>
      <c r="AG37" s="2"/>
    </row>
    <row r="38" spans="1:33" ht="14.4" x14ac:dyDescent="0.3">
      <c r="A38" s="6"/>
      <c r="B38" s="56"/>
      <c r="C38" s="80"/>
      <c r="D38" s="78"/>
      <c r="E38" s="79"/>
      <c r="F38" s="77"/>
      <c r="G38" s="7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73">
        <f t="shared" si="5"/>
        <v>2501</v>
      </c>
      <c r="U38" s="107">
        <f t="shared" si="5"/>
        <v>2600</v>
      </c>
      <c r="V38" s="108">
        <f t="shared" si="2"/>
        <v>4345</v>
      </c>
      <c r="W38" s="108">
        <f t="shared" si="1"/>
        <v>3259</v>
      </c>
      <c r="X38" s="108">
        <f t="shared" si="3"/>
        <v>2173</v>
      </c>
      <c r="Y38" s="108">
        <f t="shared" si="4"/>
        <v>1086</v>
      </c>
      <c r="Z38" s="6"/>
      <c r="AA38" s="96"/>
      <c r="AB38" s="95"/>
      <c r="AC38" s="70" t="s">
        <v>116</v>
      </c>
      <c r="AD38" s="116" t="s">
        <v>246</v>
      </c>
      <c r="AE38" s="99" t="s">
        <v>166</v>
      </c>
      <c r="AF38" s="115">
        <v>192.93333333333334</v>
      </c>
      <c r="AG38" s="2"/>
    </row>
    <row r="39" spans="1:33" ht="14.4" x14ac:dyDescent="0.3">
      <c r="A39" s="9" t="s">
        <v>41</v>
      </c>
      <c r="B39" s="60"/>
      <c r="C39" s="77"/>
      <c r="D39" s="77"/>
      <c r="E39" s="77"/>
      <c r="F39" s="81"/>
      <c r="G39" s="81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45">
        <f t="shared" si="5"/>
        <v>2601</v>
      </c>
      <c r="U39" s="109">
        <f t="shared" si="5"/>
        <v>2700</v>
      </c>
      <c r="V39" s="110">
        <f t="shared" si="2"/>
        <v>4245</v>
      </c>
      <c r="W39" s="110">
        <f t="shared" si="1"/>
        <v>3184</v>
      </c>
      <c r="X39" s="110">
        <f t="shared" si="3"/>
        <v>2123</v>
      </c>
      <c r="Y39" s="110">
        <f t="shared" si="4"/>
        <v>1061</v>
      </c>
      <c r="Z39" s="6"/>
      <c r="AA39" s="96"/>
      <c r="AB39" s="95"/>
      <c r="AC39" s="70" t="s">
        <v>117</v>
      </c>
      <c r="AD39" s="94" t="s">
        <v>182</v>
      </c>
      <c r="AE39" s="99" t="s">
        <v>167</v>
      </c>
      <c r="AF39" s="115">
        <v>534.66666666666663</v>
      </c>
      <c r="AG39" s="2"/>
    </row>
    <row r="40" spans="1:33" ht="14.4" x14ac:dyDescent="0.3">
      <c r="A40" s="6"/>
      <c r="B40" s="67">
        <f>$I$37/$B$32</f>
        <v>5709</v>
      </c>
      <c r="C40" s="77"/>
      <c r="D40" s="77"/>
      <c r="E40" s="77"/>
      <c r="F40" s="77"/>
      <c r="G40" s="7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44">
        <f t="shared" si="5"/>
        <v>2701</v>
      </c>
      <c r="U40" s="107">
        <f t="shared" si="5"/>
        <v>2800</v>
      </c>
      <c r="V40" s="108">
        <f t="shared" si="2"/>
        <v>4145</v>
      </c>
      <c r="W40" s="108">
        <f t="shared" si="1"/>
        <v>3109</v>
      </c>
      <c r="X40" s="108">
        <f t="shared" si="3"/>
        <v>2073</v>
      </c>
      <c r="Y40" s="108">
        <f t="shared" si="4"/>
        <v>1036</v>
      </c>
      <c r="Z40" s="6"/>
      <c r="AA40" s="96"/>
      <c r="AB40" s="95"/>
      <c r="AC40" s="70" t="s">
        <v>118</v>
      </c>
      <c r="AD40" s="94" t="s">
        <v>183</v>
      </c>
      <c r="AE40" s="99" t="s">
        <v>166</v>
      </c>
      <c r="AF40" s="115">
        <v>199.96666666666667</v>
      </c>
      <c r="AG40" s="2"/>
    </row>
    <row r="41" spans="1:33" ht="14.4" x14ac:dyDescent="0.3">
      <c r="B41" s="6"/>
      <c r="C41" s="77"/>
      <c r="D41" s="77"/>
      <c r="E41" s="77"/>
      <c r="F41" s="77"/>
      <c r="G41" s="7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45">
        <f t="shared" si="5"/>
        <v>2801</v>
      </c>
      <c r="U41" s="109">
        <f t="shared" si="5"/>
        <v>2900</v>
      </c>
      <c r="V41" s="110">
        <f t="shared" si="2"/>
        <v>4045</v>
      </c>
      <c r="W41" s="110">
        <f t="shared" si="1"/>
        <v>3034</v>
      </c>
      <c r="X41" s="110">
        <f t="shared" si="3"/>
        <v>2023</v>
      </c>
      <c r="Y41" s="110">
        <f t="shared" si="4"/>
        <v>1011</v>
      </c>
      <c r="Z41" s="6"/>
      <c r="AA41" s="96"/>
      <c r="AB41" s="95"/>
      <c r="AC41" s="70" t="s">
        <v>119</v>
      </c>
      <c r="AD41" s="94" t="s">
        <v>80</v>
      </c>
      <c r="AE41" s="99" t="s">
        <v>166</v>
      </c>
      <c r="AF41" s="115">
        <v>187.26666666666668</v>
      </c>
      <c r="AG41" s="2"/>
    </row>
    <row r="42" spans="1:33" ht="14.4" x14ac:dyDescent="0.3">
      <c r="A42" s="20" t="s">
        <v>65</v>
      </c>
      <c r="B42" s="12"/>
      <c r="C42" s="82"/>
      <c r="D42" s="82"/>
      <c r="E42" s="77"/>
      <c r="F42" s="77"/>
      <c r="G42" s="7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44">
        <f>100+T41</f>
        <v>2901</v>
      </c>
      <c r="U42" s="107">
        <v>3000</v>
      </c>
      <c r="V42" s="108">
        <f t="shared" si="2"/>
        <v>3945</v>
      </c>
      <c r="W42" s="108">
        <f t="shared" si="1"/>
        <v>2959</v>
      </c>
      <c r="X42" s="108">
        <f t="shared" si="3"/>
        <v>1973</v>
      </c>
      <c r="Y42" s="108">
        <f t="shared" si="4"/>
        <v>986</v>
      </c>
      <c r="Z42" s="6"/>
      <c r="AA42" s="97"/>
      <c r="AB42" s="98"/>
      <c r="AC42" s="70" t="s">
        <v>120</v>
      </c>
      <c r="AD42" s="94" t="s">
        <v>81</v>
      </c>
      <c r="AE42" s="100" t="s">
        <v>166</v>
      </c>
      <c r="AF42" s="115">
        <v>178</v>
      </c>
      <c r="AG42" s="2"/>
    </row>
    <row r="43" spans="1:33" ht="14.4" x14ac:dyDescent="0.3">
      <c r="A43" s="62"/>
      <c r="B43" s="6"/>
      <c r="C43" s="83"/>
      <c r="D43" s="82"/>
      <c r="E43" s="82"/>
      <c r="F43" s="77"/>
      <c r="G43" s="7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45">
        <f>100+T42</f>
        <v>3001</v>
      </c>
      <c r="U43" s="109">
        <v>3100</v>
      </c>
      <c r="V43" s="110">
        <f t="shared" si="2"/>
        <v>3845</v>
      </c>
      <c r="W43" s="110">
        <f t="shared" si="1"/>
        <v>2884</v>
      </c>
      <c r="X43" s="110">
        <f t="shared" si="3"/>
        <v>1923</v>
      </c>
      <c r="Y43" s="110">
        <f t="shared" si="4"/>
        <v>961</v>
      </c>
      <c r="Z43" s="6"/>
      <c r="AA43" s="97"/>
      <c r="AB43" s="98"/>
      <c r="AC43" s="70" t="s">
        <v>121</v>
      </c>
      <c r="AD43" s="94" t="s">
        <v>184</v>
      </c>
      <c r="AE43" s="100" t="s">
        <v>166</v>
      </c>
      <c r="AF43" s="115">
        <v>2075.6666666666665</v>
      </c>
      <c r="AG43" s="2"/>
    </row>
    <row r="44" spans="1:33" ht="14.4" x14ac:dyDescent="0.3">
      <c r="B44" s="6"/>
      <c r="C44" s="77"/>
      <c r="D44" s="82"/>
      <c r="E44" s="81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44">
        <v>3101</v>
      </c>
      <c r="U44" s="107">
        <v>3200</v>
      </c>
      <c r="V44" s="108">
        <f t="shared" si="2"/>
        <v>3745</v>
      </c>
      <c r="W44" s="108">
        <f t="shared" si="1"/>
        <v>2809</v>
      </c>
      <c r="X44" s="108">
        <f t="shared" si="3"/>
        <v>1873</v>
      </c>
      <c r="Y44" s="108">
        <f t="shared" si="4"/>
        <v>936</v>
      </c>
      <c r="Z44" s="6"/>
      <c r="AA44" s="96"/>
      <c r="AB44" s="95"/>
      <c r="AC44" s="70" t="s">
        <v>122</v>
      </c>
      <c r="AD44" s="94" t="s">
        <v>82</v>
      </c>
      <c r="AE44" s="99" t="s">
        <v>166</v>
      </c>
      <c r="AF44" s="115">
        <v>580.66666666666663</v>
      </c>
      <c r="AG44" s="2"/>
    </row>
    <row r="45" spans="1:33" ht="14.4" x14ac:dyDescent="0.3">
      <c r="B45" s="6"/>
      <c r="C45" s="77"/>
      <c r="D45" s="77"/>
      <c r="E45" s="36" t="s">
        <v>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46">
        <v>3201</v>
      </c>
      <c r="U45" s="112">
        <v>3300</v>
      </c>
      <c r="V45" s="110">
        <f t="shared" si="2"/>
        <v>3645</v>
      </c>
      <c r="W45" s="110">
        <f t="shared" si="1"/>
        <v>2734</v>
      </c>
      <c r="X45" s="110">
        <f t="shared" si="3"/>
        <v>1823</v>
      </c>
      <c r="Y45" s="110">
        <f t="shared" si="4"/>
        <v>911</v>
      </c>
      <c r="Z45" s="6"/>
      <c r="AA45" s="96"/>
      <c r="AB45" s="95"/>
      <c r="AC45" s="70" t="s">
        <v>123</v>
      </c>
      <c r="AD45" s="94" t="s">
        <v>185</v>
      </c>
      <c r="AE45" s="99" t="s">
        <v>166</v>
      </c>
      <c r="AF45" s="115">
        <v>322.8</v>
      </c>
      <c r="AG45" s="2"/>
    </row>
    <row r="46" spans="1:33" ht="14.4" x14ac:dyDescent="0.3">
      <c r="B46" s="6"/>
      <c r="C46" s="77"/>
      <c r="D46" s="77"/>
      <c r="E46" s="6"/>
      <c r="F46" s="6"/>
      <c r="G46" s="6"/>
      <c r="H46" s="6"/>
      <c r="I46" s="9"/>
      <c r="J46" s="10"/>
      <c r="K46" s="6"/>
      <c r="L46" s="6"/>
      <c r="M46" s="6"/>
      <c r="N46" s="6"/>
      <c r="O46" s="6"/>
      <c r="P46" s="6"/>
      <c r="Q46" s="6"/>
      <c r="R46" s="6"/>
      <c r="S46" s="6"/>
      <c r="T46" s="47">
        <v>3301</v>
      </c>
      <c r="U46" s="113">
        <v>3400</v>
      </c>
      <c r="V46" s="108">
        <f t="shared" si="2"/>
        <v>3545</v>
      </c>
      <c r="W46" s="108">
        <f t="shared" si="1"/>
        <v>2659</v>
      </c>
      <c r="X46" s="108">
        <f t="shared" si="3"/>
        <v>1773</v>
      </c>
      <c r="Y46" s="108">
        <f t="shared" si="4"/>
        <v>886</v>
      </c>
      <c r="Z46" s="6"/>
      <c r="AA46" s="96"/>
      <c r="AB46" s="95"/>
      <c r="AC46" s="70" t="s">
        <v>126</v>
      </c>
      <c r="AD46" s="94" t="s">
        <v>186</v>
      </c>
      <c r="AE46" s="99" t="s">
        <v>166</v>
      </c>
      <c r="AF46" s="115">
        <v>273.33333333333331</v>
      </c>
      <c r="AG46" s="2"/>
    </row>
    <row r="47" spans="1:33" ht="14.4" x14ac:dyDescent="0.3">
      <c r="A47" s="55" t="s">
        <v>0</v>
      </c>
      <c r="B47" s="6"/>
      <c r="C47" s="77"/>
      <c r="D47" s="77"/>
      <c r="E47" s="6"/>
      <c r="F47" s="6"/>
      <c r="G47" s="6"/>
      <c r="H47" s="6"/>
      <c r="I47" s="10"/>
      <c r="J47" s="10"/>
      <c r="K47" s="6"/>
      <c r="L47" s="6"/>
      <c r="M47" s="6"/>
      <c r="N47" s="6"/>
      <c r="O47" s="6"/>
      <c r="P47" s="6"/>
      <c r="Q47" s="6"/>
      <c r="R47" s="6"/>
      <c r="S47" s="6"/>
      <c r="T47" s="48">
        <v>3401</v>
      </c>
      <c r="U47" s="114">
        <v>3500</v>
      </c>
      <c r="V47" s="110">
        <f t="shared" si="2"/>
        <v>3445</v>
      </c>
      <c r="W47" s="110">
        <f t="shared" si="1"/>
        <v>2584</v>
      </c>
      <c r="X47" s="110">
        <f t="shared" si="3"/>
        <v>1723</v>
      </c>
      <c r="Y47" s="110">
        <f t="shared" si="4"/>
        <v>861</v>
      </c>
      <c r="Z47" s="6"/>
      <c r="AA47" s="96"/>
      <c r="AB47" s="95"/>
      <c r="AC47" s="70" t="s">
        <v>128</v>
      </c>
      <c r="AD47" s="94" t="s">
        <v>187</v>
      </c>
      <c r="AE47" s="99" t="s">
        <v>166</v>
      </c>
      <c r="AF47" s="115">
        <v>465.6</v>
      </c>
      <c r="AG47" s="2"/>
    </row>
    <row r="48" spans="1:33" ht="14.4" x14ac:dyDescent="0.3">
      <c r="A48" s="20"/>
      <c r="B48" s="6"/>
      <c r="C48" s="77"/>
      <c r="D48" s="7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47">
        <v>3501</v>
      </c>
      <c r="U48" s="113">
        <v>3600</v>
      </c>
      <c r="V48" s="108">
        <f t="shared" si="2"/>
        <v>3345</v>
      </c>
      <c r="W48" s="108">
        <f t="shared" si="1"/>
        <v>2509</v>
      </c>
      <c r="X48" s="108">
        <f t="shared" si="3"/>
        <v>1673</v>
      </c>
      <c r="Y48" s="108">
        <f t="shared" si="4"/>
        <v>836</v>
      </c>
      <c r="Z48" s="6"/>
      <c r="AA48" s="96"/>
      <c r="AB48" s="95"/>
      <c r="AC48" s="70" t="s">
        <v>127</v>
      </c>
      <c r="AD48" s="94" t="s">
        <v>188</v>
      </c>
      <c r="AE48" s="99" t="s">
        <v>166</v>
      </c>
      <c r="AF48" s="115">
        <v>351.9</v>
      </c>
      <c r="AG48" s="2"/>
    </row>
    <row r="49" spans="1:33" ht="14.4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46">
        <v>3601</v>
      </c>
      <c r="U49" s="112">
        <v>3700</v>
      </c>
      <c r="V49" s="110">
        <f t="shared" si="2"/>
        <v>3245</v>
      </c>
      <c r="W49" s="110">
        <f t="shared" si="1"/>
        <v>2434</v>
      </c>
      <c r="X49" s="110">
        <f t="shared" si="3"/>
        <v>1623</v>
      </c>
      <c r="Y49" s="110">
        <f t="shared" si="4"/>
        <v>811</v>
      </c>
      <c r="Z49" s="6"/>
      <c r="AA49" s="96"/>
      <c r="AB49" s="95"/>
      <c r="AC49" s="70" t="s">
        <v>129</v>
      </c>
      <c r="AD49" s="94" t="s">
        <v>189</v>
      </c>
      <c r="AE49" s="99" t="s">
        <v>166</v>
      </c>
      <c r="AF49" s="115">
        <v>209.36666666666667</v>
      </c>
      <c r="AG49" s="2"/>
    </row>
    <row r="50" spans="1:33" ht="14.4" x14ac:dyDescent="0.3">
      <c r="A50" s="3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47">
        <v>3701</v>
      </c>
      <c r="U50" s="113">
        <v>3800</v>
      </c>
      <c r="V50" s="108">
        <f t="shared" si="2"/>
        <v>3145</v>
      </c>
      <c r="W50" s="108">
        <f t="shared" si="1"/>
        <v>2359</v>
      </c>
      <c r="X50" s="108">
        <f t="shared" si="3"/>
        <v>1573</v>
      </c>
      <c r="Y50" s="108">
        <f t="shared" si="4"/>
        <v>786</v>
      </c>
      <c r="Z50" s="6"/>
      <c r="AA50" s="96"/>
      <c r="AB50" s="95"/>
      <c r="AC50" s="70" t="s">
        <v>130</v>
      </c>
      <c r="AD50" s="94" t="s">
        <v>190</v>
      </c>
      <c r="AE50" s="99" t="s">
        <v>166</v>
      </c>
      <c r="AF50" s="115">
        <v>196.66666666666666</v>
      </c>
      <c r="AG50" s="2"/>
    </row>
    <row r="51" spans="1:33" ht="14.4" x14ac:dyDescent="0.3">
      <c r="A51" s="9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46">
        <v>3801</v>
      </c>
      <c r="U51" s="112">
        <v>3900</v>
      </c>
      <c r="V51" s="110">
        <f t="shared" si="2"/>
        <v>3045</v>
      </c>
      <c r="W51" s="110">
        <f t="shared" si="1"/>
        <v>2284</v>
      </c>
      <c r="X51" s="110">
        <f t="shared" si="3"/>
        <v>1523</v>
      </c>
      <c r="Y51" s="110">
        <f t="shared" si="4"/>
        <v>761</v>
      </c>
      <c r="Z51" s="6"/>
      <c r="AA51" s="96"/>
      <c r="AB51" s="95"/>
      <c r="AC51" s="70" t="s">
        <v>131</v>
      </c>
      <c r="AD51" s="94" t="s">
        <v>191</v>
      </c>
      <c r="AE51" s="99" t="s">
        <v>166</v>
      </c>
      <c r="AF51" s="115">
        <v>314.73333333333335</v>
      </c>
      <c r="AG51" s="2"/>
    </row>
    <row r="52" spans="1:33" ht="14.4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47">
        <v>3901</v>
      </c>
      <c r="U52" s="113">
        <v>4000</v>
      </c>
      <c r="V52" s="108">
        <f t="shared" si="2"/>
        <v>2945</v>
      </c>
      <c r="W52" s="108">
        <f t="shared" si="1"/>
        <v>2209</v>
      </c>
      <c r="X52" s="108">
        <f t="shared" si="3"/>
        <v>1473</v>
      </c>
      <c r="Y52" s="108">
        <f t="shared" si="4"/>
        <v>736</v>
      </c>
      <c r="Z52" s="6"/>
      <c r="AA52" s="96"/>
      <c r="AB52" s="95"/>
      <c r="AC52" s="70" t="s">
        <v>132</v>
      </c>
      <c r="AD52" s="94" t="s">
        <v>192</v>
      </c>
      <c r="AE52" s="99" t="s">
        <v>166</v>
      </c>
      <c r="AF52" s="115">
        <v>341.2</v>
      </c>
      <c r="AG52" s="2"/>
    </row>
    <row r="53" spans="1:33" ht="14.4" x14ac:dyDescent="0.3">
      <c r="A53" s="20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46">
        <v>4001</v>
      </c>
      <c r="U53" s="112">
        <v>4100</v>
      </c>
      <c r="V53" s="110">
        <f t="shared" si="2"/>
        <v>2845</v>
      </c>
      <c r="W53" s="110">
        <f t="shared" si="1"/>
        <v>2134</v>
      </c>
      <c r="X53" s="110">
        <f t="shared" si="3"/>
        <v>1423</v>
      </c>
      <c r="Y53" s="110">
        <f t="shared" si="4"/>
        <v>711</v>
      </c>
      <c r="Z53" s="6"/>
      <c r="AA53" s="96"/>
      <c r="AB53" s="95"/>
      <c r="AC53" s="70" t="s">
        <v>133</v>
      </c>
      <c r="AD53" s="94" t="s">
        <v>193</v>
      </c>
      <c r="AE53" s="99" t="s">
        <v>166</v>
      </c>
      <c r="AF53" s="115">
        <v>216.13333333333333</v>
      </c>
      <c r="AG53" s="2"/>
    </row>
    <row r="54" spans="1:33" ht="14.4" x14ac:dyDescent="0.3">
      <c r="A54" s="20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47">
        <v>4101</v>
      </c>
      <c r="U54" s="113">
        <v>4200</v>
      </c>
      <c r="V54" s="108">
        <f t="shared" si="2"/>
        <v>2745</v>
      </c>
      <c r="W54" s="108">
        <f t="shared" si="1"/>
        <v>2059</v>
      </c>
      <c r="X54" s="108">
        <f t="shared" si="3"/>
        <v>1373</v>
      </c>
      <c r="Y54" s="108">
        <v>0</v>
      </c>
      <c r="Z54" s="6"/>
      <c r="AA54" s="96"/>
      <c r="AB54" s="95"/>
      <c r="AC54" s="70" t="s">
        <v>134</v>
      </c>
      <c r="AD54" s="94" t="s">
        <v>194</v>
      </c>
      <c r="AE54" s="99" t="s">
        <v>166</v>
      </c>
      <c r="AF54" s="115">
        <v>448.4</v>
      </c>
      <c r="AG54" s="2"/>
    </row>
    <row r="55" spans="1:33" ht="14.4" x14ac:dyDescent="0.3">
      <c r="A55" s="20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46">
        <v>4201</v>
      </c>
      <c r="U55" s="112">
        <v>4300</v>
      </c>
      <c r="V55" s="110">
        <f t="shared" si="2"/>
        <v>2645</v>
      </c>
      <c r="W55" s="110">
        <f t="shared" si="1"/>
        <v>1984</v>
      </c>
      <c r="X55" s="110">
        <f t="shared" si="3"/>
        <v>1323</v>
      </c>
      <c r="Y55" s="110">
        <v>0</v>
      </c>
      <c r="Z55" s="6"/>
      <c r="AA55" s="96"/>
      <c r="AB55" s="95"/>
      <c r="AC55" s="70" t="s">
        <v>124</v>
      </c>
      <c r="AD55" s="94" t="s">
        <v>195</v>
      </c>
      <c r="AE55" s="99" t="s">
        <v>166</v>
      </c>
      <c r="AF55" s="115">
        <v>1418.6666666666667</v>
      </c>
      <c r="AG55" s="2"/>
    </row>
    <row r="56" spans="1:33" ht="14.4" x14ac:dyDescent="0.3">
      <c r="A56" s="20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47">
        <v>4301</v>
      </c>
      <c r="U56" s="113">
        <v>4400</v>
      </c>
      <c r="V56" s="108">
        <f t="shared" si="2"/>
        <v>2545</v>
      </c>
      <c r="W56" s="108">
        <f t="shared" si="1"/>
        <v>1909</v>
      </c>
      <c r="X56" s="108">
        <f t="shared" si="3"/>
        <v>1273</v>
      </c>
      <c r="Y56" s="108">
        <v>0</v>
      </c>
      <c r="Z56" s="6"/>
      <c r="AA56" s="96"/>
      <c r="AB56" s="95"/>
      <c r="AC56" s="70" t="s">
        <v>125</v>
      </c>
      <c r="AD56" s="94" t="s">
        <v>196</v>
      </c>
      <c r="AE56" s="99" t="s">
        <v>166</v>
      </c>
      <c r="AF56" s="115">
        <v>203.26666666666668</v>
      </c>
      <c r="AG56" s="2"/>
    </row>
    <row r="57" spans="1:33" ht="14.4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46">
        <v>4401</v>
      </c>
      <c r="U57" s="112">
        <v>4500</v>
      </c>
      <c r="V57" s="110">
        <f t="shared" si="2"/>
        <v>2445</v>
      </c>
      <c r="W57" s="110">
        <f t="shared" si="1"/>
        <v>1834</v>
      </c>
      <c r="X57" s="110">
        <f t="shared" si="3"/>
        <v>1223</v>
      </c>
      <c r="Y57" s="110">
        <v>0</v>
      </c>
      <c r="Z57" s="6"/>
      <c r="AA57" s="96"/>
      <c r="AB57" s="95"/>
      <c r="AC57" s="70" t="s">
        <v>135</v>
      </c>
      <c r="AD57" s="94" t="s">
        <v>197</v>
      </c>
      <c r="AE57" s="99" t="s">
        <v>166</v>
      </c>
      <c r="AF57" s="115">
        <v>210.7</v>
      </c>
      <c r="AG57" s="2"/>
    </row>
    <row r="58" spans="1:33" ht="14.4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47">
        <v>4501</v>
      </c>
      <c r="U58" s="113">
        <v>4600</v>
      </c>
      <c r="V58" s="108">
        <f t="shared" si="2"/>
        <v>2345</v>
      </c>
      <c r="W58" s="108">
        <f t="shared" si="1"/>
        <v>1759</v>
      </c>
      <c r="X58" s="108">
        <f t="shared" si="3"/>
        <v>1173</v>
      </c>
      <c r="Y58" s="108">
        <v>0</v>
      </c>
      <c r="Z58" s="6"/>
      <c r="AA58" s="96"/>
      <c r="AB58" s="95"/>
      <c r="AC58" s="70" t="s">
        <v>136</v>
      </c>
      <c r="AD58" s="94" t="s">
        <v>83</v>
      </c>
      <c r="AE58" s="100" t="s">
        <v>166</v>
      </c>
      <c r="AF58" s="115">
        <v>933.33333333333337</v>
      </c>
      <c r="AG58" s="2"/>
    </row>
    <row r="59" spans="1:33" ht="14.4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46">
        <v>4601</v>
      </c>
      <c r="U59" s="112">
        <v>4700</v>
      </c>
      <c r="V59" s="110">
        <f t="shared" si="2"/>
        <v>2245</v>
      </c>
      <c r="W59" s="110">
        <f t="shared" si="1"/>
        <v>1684</v>
      </c>
      <c r="X59" s="110">
        <f t="shared" si="3"/>
        <v>1123</v>
      </c>
      <c r="Y59" s="110">
        <v>0</v>
      </c>
      <c r="Z59" s="6"/>
      <c r="AA59" s="97"/>
      <c r="AB59" s="98"/>
      <c r="AC59" s="70" t="s">
        <v>137</v>
      </c>
      <c r="AD59" s="94" t="s">
        <v>198</v>
      </c>
      <c r="AE59" s="100" t="s">
        <v>166</v>
      </c>
      <c r="AF59" s="115">
        <v>210.43333333333334</v>
      </c>
      <c r="AG59" s="2"/>
    </row>
    <row r="60" spans="1:33" ht="14.4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47">
        <v>4701</v>
      </c>
      <c r="U60" s="113">
        <v>4800</v>
      </c>
      <c r="V60" s="108">
        <f t="shared" si="2"/>
        <v>2145</v>
      </c>
      <c r="W60" s="108">
        <f t="shared" si="1"/>
        <v>1609</v>
      </c>
      <c r="X60" s="108">
        <f t="shared" si="3"/>
        <v>1073</v>
      </c>
      <c r="Y60" s="108">
        <v>0</v>
      </c>
      <c r="Z60" s="6"/>
      <c r="AA60" s="97"/>
      <c r="AB60" s="98"/>
      <c r="AC60" s="70" t="s">
        <v>138</v>
      </c>
      <c r="AD60" s="94" t="s">
        <v>199</v>
      </c>
      <c r="AE60" s="99" t="s">
        <v>166</v>
      </c>
      <c r="AF60" s="115">
        <v>208.06666666666666</v>
      </c>
      <c r="AG60" s="2"/>
    </row>
    <row r="61" spans="1:33" ht="14.4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46">
        <v>4801</v>
      </c>
      <c r="U61" s="112">
        <v>4900</v>
      </c>
      <c r="V61" s="110">
        <f t="shared" si="2"/>
        <v>2045</v>
      </c>
      <c r="W61" s="110">
        <f t="shared" si="1"/>
        <v>1534</v>
      </c>
      <c r="X61" s="110">
        <f t="shared" si="3"/>
        <v>1023</v>
      </c>
      <c r="Y61" s="110">
        <v>0</v>
      </c>
      <c r="Z61" s="6"/>
      <c r="AA61" s="96"/>
      <c r="AB61" s="95"/>
      <c r="AC61" s="70" t="s">
        <v>139</v>
      </c>
      <c r="AD61" s="94" t="s">
        <v>200</v>
      </c>
      <c r="AE61" s="102" t="s">
        <v>166</v>
      </c>
      <c r="AF61" s="117">
        <v>207.56666666666666</v>
      </c>
      <c r="AG61" s="2"/>
    </row>
    <row r="62" spans="1:33" ht="14.4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47">
        <v>4901</v>
      </c>
      <c r="U62" s="113">
        <v>5000</v>
      </c>
      <c r="V62" s="108">
        <f t="shared" si="2"/>
        <v>1945</v>
      </c>
      <c r="W62" s="108">
        <f t="shared" si="1"/>
        <v>1459</v>
      </c>
      <c r="X62" s="108">
        <f t="shared" si="3"/>
        <v>973</v>
      </c>
      <c r="Y62" s="108">
        <v>0</v>
      </c>
      <c r="Z62" s="6"/>
      <c r="AA62" s="96"/>
      <c r="AB62" s="95"/>
      <c r="AC62" s="70" t="s">
        <v>141</v>
      </c>
      <c r="AD62" s="94" t="s">
        <v>201</v>
      </c>
      <c r="AE62" s="102" t="s">
        <v>166</v>
      </c>
      <c r="AF62" s="117">
        <v>483.83333333333331</v>
      </c>
      <c r="AG62" s="2"/>
    </row>
    <row r="63" spans="1:33" ht="14.4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46">
        <v>5001</v>
      </c>
      <c r="U63" s="112">
        <v>5100</v>
      </c>
      <c r="V63" s="110">
        <f t="shared" si="2"/>
        <v>1845</v>
      </c>
      <c r="W63" s="110">
        <f t="shared" si="1"/>
        <v>1384</v>
      </c>
      <c r="X63" s="110">
        <f t="shared" si="3"/>
        <v>923</v>
      </c>
      <c r="Y63" s="110">
        <v>0</v>
      </c>
      <c r="Z63" s="6"/>
      <c r="AA63" s="101"/>
      <c r="AB63" s="102"/>
      <c r="AC63" s="70" t="s">
        <v>140</v>
      </c>
      <c r="AD63" s="94" t="s">
        <v>202</v>
      </c>
      <c r="AE63" s="102" t="s">
        <v>166</v>
      </c>
      <c r="AF63" s="117">
        <v>452.33333333333331</v>
      </c>
      <c r="AG63" s="2"/>
    </row>
    <row r="64" spans="1:33" ht="14.4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47">
        <v>5101</v>
      </c>
      <c r="U64" s="113">
        <v>5200</v>
      </c>
      <c r="V64" s="108">
        <f t="shared" si="2"/>
        <v>1745</v>
      </c>
      <c r="W64" s="108">
        <f t="shared" si="1"/>
        <v>1309</v>
      </c>
      <c r="X64" s="108">
        <f t="shared" si="3"/>
        <v>873</v>
      </c>
      <c r="Y64" s="108">
        <v>0</v>
      </c>
      <c r="Z64" s="6"/>
      <c r="AA64" s="101"/>
      <c r="AB64" s="102"/>
      <c r="AC64" s="70" t="s">
        <v>142</v>
      </c>
      <c r="AD64" s="94" t="s">
        <v>203</v>
      </c>
      <c r="AE64" s="102" t="s">
        <v>166</v>
      </c>
      <c r="AF64" s="117">
        <v>609</v>
      </c>
      <c r="AG64" s="2"/>
    </row>
    <row r="65" spans="1:33" ht="14.4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46">
        <v>5201</v>
      </c>
      <c r="U65" s="112">
        <v>5300</v>
      </c>
      <c r="V65" s="110">
        <f t="shared" si="2"/>
        <v>1645</v>
      </c>
      <c r="W65" s="110">
        <f t="shared" si="1"/>
        <v>1234</v>
      </c>
      <c r="X65" s="110">
        <f t="shared" si="3"/>
        <v>823</v>
      </c>
      <c r="Y65" s="110">
        <v>0</v>
      </c>
      <c r="Z65" s="6"/>
      <c r="AA65" s="101"/>
      <c r="AB65" s="102"/>
      <c r="AC65" s="70" t="s">
        <v>143</v>
      </c>
      <c r="AD65" s="94" t="s">
        <v>204</v>
      </c>
      <c r="AE65" s="102" t="s">
        <v>166</v>
      </c>
      <c r="AF65" s="117">
        <v>193.46666666666667</v>
      </c>
      <c r="AG65" s="2"/>
    </row>
    <row r="66" spans="1:33" ht="14.4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47">
        <v>5301</v>
      </c>
      <c r="U66" s="113">
        <v>5400</v>
      </c>
      <c r="V66" s="108">
        <f t="shared" si="2"/>
        <v>1545</v>
      </c>
      <c r="W66" s="108">
        <f t="shared" si="1"/>
        <v>1159</v>
      </c>
      <c r="X66" s="108">
        <f t="shared" si="3"/>
        <v>773</v>
      </c>
      <c r="Y66" s="108">
        <v>0</v>
      </c>
      <c r="Z66" s="6"/>
      <c r="AA66" s="101"/>
      <c r="AB66" s="102"/>
      <c r="AC66" s="70" t="s">
        <v>144</v>
      </c>
      <c r="AD66" s="94" t="s">
        <v>225</v>
      </c>
      <c r="AE66" s="102" t="s">
        <v>167</v>
      </c>
      <c r="AF66" s="117">
        <v>366</v>
      </c>
      <c r="AG66" s="2"/>
    </row>
    <row r="67" spans="1:33" ht="14.4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46">
        <v>5401</v>
      </c>
      <c r="U67" s="112">
        <v>5500</v>
      </c>
      <c r="V67" s="110">
        <f t="shared" si="2"/>
        <v>1445</v>
      </c>
      <c r="W67" s="110">
        <f t="shared" si="1"/>
        <v>1084</v>
      </c>
      <c r="X67" s="110">
        <f t="shared" si="3"/>
        <v>723</v>
      </c>
      <c r="Y67" s="110">
        <v>0</v>
      </c>
      <c r="Z67" s="6"/>
      <c r="AA67" s="101"/>
      <c r="AB67" s="102"/>
      <c r="AC67" s="70" t="s">
        <v>226</v>
      </c>
      <c r="AD67" s="94" t="s">
        <v>227</v>
      </c>
      <c r="AE67" s="102" t="s">
        <v>166</v>
      </c>
      <c r="AF67" s="117">
        <v>221.33333333333334</v>
      </c>
      <c r="AG67" s="2"/>
    </row>
    <row r="68" spans="1:33" ht="14.4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47">
        <v>5501</v>
      </c>
      <c r="U68" s="113">
        <v>5600</v>
      </c>
      <c r="V68" s="108">
        <f t="shared" si="2"/>
        <v>1345</v>
      </c>
      <c r="W68" s="108">
        <f t="shared" si="1"/>
        <v>1009</v>
      </c>
      <c r="X68" s="108">
        <v>0</v>
      </c>
      <c r="Y68" s="108">
        <v>0</v>
      </c>
      <c r="Z68" s="6"/>
      <c r="AA68" s="101"/>
      <c r="AB68" s="102"/>
      <c r="AC68" s="70" t="s">
        <v>145</v>
      </c>
      <c r="AD68" s="94" t="s">
        <v>84</v>
      </c>
      <c r="AE68" s="99" t="s">
        <v>166</v>
      </c>
      <c r="AF68" s="115">
        <v>203.76666666666668</v>
      </c>
      <c r="AG68" s="2"/>
    </row>
    <row r="69" spans="1:33" ht="14.4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46">
        <v>5601</v>
      </c>
      <c r="U69" s="112">
        <v>5700</v>
      </c>
      <c r="V69" s="110">
        <f t="shared" si="2"/>
        <v>1245</v>
      </c>
      <c r="W69" s="110">
        <f t="shared" si="1"/>
        <v>934</v>
      </c>
      <c r="X69" s="110">
        <v>0</v>
      </c>
      <c r="Y69" s="110">
        <v>0</v>
      </c>
      <c r="Z69" s="6"/>
      <c r="AA69" s="101"/>
      <c r="AB69" s="102"/>
      <c r="AC69" s="70" t="s">
        <v>146</v>
      </c>
      <c r="AD69" s="94" t="s">
        <v>205</v>
      </c>
      <c r="AE69" s="99" t="s">
        <v>166</v>
      </c>
      <c r="AF69" s="115">
        <v>208.33333333333334</v>
      </c>
      <c r="AG69" s="2"/>
    </row>
    <row r="70" spans="1:33" ht="14.4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47">
        <v>5701</v>
      </c>
      <c r="U70" s="113">
        <v>5800</v>
      </c>
      <c r="V70" s="108">
        <f t="shared" si="2"/>
        <v>1145</v>
      </c>
      <c r="W70" s="108">
        <f t="shared" si="1"/>
        <v>859</v>
      </c>
      <c r="X70" s="108">
        <v>0</v>
      </c>
      <c r="Y70" s="108">
        <v>0</v>
      </c>
      <c r="Z70" s="6"/>
      <c r="AA70" s="96"/>
      <c r="AB70" s="95"/>
      <c r="AC70" s="70" t="s">
        <v>147</v>
      </c>
      <c r="AD70" s="94" t="s">
        <v>206</v>
      </c>
      <c r="AE70" s="99" t="s">
        <v>166</v>
      </c>
      <c r="AF70" s="115">
        <v>209.1</v>
      </c>
      <c r="AG70" s="2"/>
    </row>
    <row r="71" spans="1:33" ht="14.4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46">
        <v>5801</v>
      </c>
      <c r="U71" s="112">
        <v>5900</v>
      </c>
      <c r="V71" s="110">
        <f t="shared" si="2"/>
        <v>1045</v>
      </c>
      <c r="W71" s="110">
        <f t="shared" si="1"/>
        <v>784</v>
      </c>
      <c r="X71" s="110">
        <v>0</v>
      </c>
      <c r="Y71" s="110">
        <v>0</v>
      </c>
      <c r="Z71" s="6"/>
      <c r="AA71" s="96"/>
      <c r="AB71" s="95"/>
      <c r="AC71" s="70" t="s">
        <v>149</v>
      </c>
      <c r="AD71" s="94" t="s">
        <v>85</v>
      </c>
      <c r="AE71" s="99" t="s">
        <v>166</v>
      </c>
      <c r="AF71" s="115">
        <v>205.03333333333333</v>
      </c>
      <c r="AG71" s="2"/>
    </row>
    <row r="72" spans="1:33" ht="14.4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113">
        <v>5901</v>
      </c>
      <c r="U72" s="113">
        <v>6000</v>
      </c>
      <c r="V72" s="108">
        <f t="shared" si="2"/>
        <v>945</v>
      </c>
      <c r="W72" s="108">
        <f t="shared" si="1"/>
        <v>709</v>
      </c>
      <c r="X72" s="108">
        <v>0</v>
      </c>
      <c r="Y72" s="108">
        <v>0</v>
      </c>
      <c r="Z72" s="6"/>
      <c r="AA72" s="96"/>
      <c r="AB72" s="95"/>
      <c r="AC72" s="70" t="s">
        <v>150</v>
      </c>
      <c r="AD72" s="94" t="s">
        <v>207</v>
      </c>
      <c r="AE72" s="99" t="s">
        <v>166</v>
      </c>
      <c r="AF72" s="115">
        <v>336.76666666666665</v>
      </c>
      <c r="AG72" s="2"/>
    </row>
    <row r="73" spans="1:33" ht="14.4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112">
        <v>6001</v>
      </c>
      <c r="U73" s="112">
        <v>6100</v>
      </c>
      <c r="V73" s="110">
        <f t="shared" si="2"/>
        <v>845</v>
      </c>
      <c r="W73" s="110">
        <v>0</v>
      </c>
      <c r="X73" s="110">
        <v>0</v>
      </c>
      <c r="Y73" s="110">
        <v>0</v>
      </c>
      <c r="Z73" s="6"/>
      <c r="AA73" s="96"/>
      <c r="AB73" s="95"/>
      <c r="AC73" s="70" t="s">
        <v>151</v>
      </c>
      <c r="AD73" s="94" t="s">
        <v>208</v>
      </c>
      <c r="AE73" s="99" t="s">
        <v>166</v>
      </c>
      <c r="AF73" s="115">
        <v>1595.6666666666667</v>
      </c>
      <c r="AG73" s="2"/>
    </row>
    <row r="74" spans="1:33" ht="14.4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113">
        <v>6101</v>
      </c>
      <c r="U74" s="113">
        <v>6200</v>
      </c>
      <c r="V74" s="108">
        <f t="shared" si="2"/>
        <v>745</v>
      </c>
      <c r="W74" s="108">
        <v>0</v>
      </c>
      <c r="X74" s="108">
        <v>0</v>
      </c>
      <c r="Y74" s="108">
        <v>0</v>
      </c>
      <c r="Z74" s="6"/>
      <c r="AA74" s="96"/>
      <c r="AB74" s="95"/>
      <c r="AC74" s="70" t="s">
        <v>152</v>
      </c>
      <c r="AD74" s="94" t="s">
        <v>209</v>
      </c>
      <c r="AE74" s="99" t="s">
        <v>166</v>
      </c>
      <c r="AF74" s="115">
        <v>337.3</v>
      </c>
      <c r="AG74" s="2"/>
    </row>
    <row r="75" spans="1:33" ht="14.4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12">
        <v>6201</v>
      </c>
      <c r="U75" s="112">
        <v>6206</v>
      </c>
      <c r="V75" s="110">
        <v>692</v>
      </c>
      <c r="W75" s="110">
        <v>0</v>
      </c>
      <c r="X75" s="110">
        <v>0</v>
      </c>
      <c r="Y75" s="110">
        <v>0</v>
      </c>
      <c r="Z75" s="6"/>
      <c r="AA75" s="96"/>
      <c r="AB75" s="95"/>
      <c r="AC75" s="70" t="s">
        <v>153</v>
      </c>
      <c r="AD75" s="94" t="s">
        <v>210</v>
      </c>
      <c r="AE75" s="99" t="s">
        <v>166</v>
      </c>
      <c r="AF75" s="115">
        <v>202.5</v>
      </c>
      <c r="AG75" s="2"/>
    </row>
    <row r="76" spans="1:33" ht="14.4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113">
        <v>6207</v>
      </c>
      <c r="U76" s="113">
        <v>999999</v>
      </c>
      <c r="V76" s="108">
        <v>0</v>
      </c>
      <c r="W76" s="108">
        <v>0</v>
      </c>
      <c r="X76" s="108">
        <v>0</v>
      </c>
      <c r="Y76" s="108">
        <v>0</v>
      </c>
      <c r="Z76" s="6"/>
      <c r="AA76" s="96"/>
      <c r="AB76" s="95"/>
      <c r="AC76" s="70" t="s">
        <v>154</v>
      </c>
      <c r="AD76" s="94" t="s">
        <v>86</v>
      </c>
      <c r="AE76" s="99" t="s">
        <v>166</v>
      </c>
      <c r="AF76" s="115">
        <v>1738.8</v>
      </c>
      <c r="AG76" s="2"/>
    </row>
    <row r="77" spans="1:33" ht="14.4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96"/>
      <c r="AB77" s="95"/>
      <c r="AC77" s="70" t="s">
        <v>155</v>
      </c>
      <c r="AD77" s="94" t="s">
        <v>211</v>
      </c>
      <c r="AE77" s="99" t="s">
        <v>166</v>
      </c>
      <c r="AF77" s="115">
        <v>1255.4666666666667</v>
      </c>
      <c r="AG77" s="2"/>
    </row>
    <row r="78" spans="1:33" ht="14.4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96"/>
      <c r="AB78" s="95"/>
      <c r="AC78" s="70" t="s">
        <v>156</v>
      </c>
      <c r="AD78" s="94" t="s">
        <v>87</v>
      </c>
      <c r="AE78" s="99" t="s">
        <v>166</v>
      </c>
      <c r="AF78" s="115">
        <v>1821.6666666666667</v>
      </c>
      <c r="AG78" s="2"/>
    </row>
    <row r="79" spans="1:33" ht="14.4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96"/>
      <c r="AB79" s="95"/>
      <c r="AC79" s="70" t="s">
        <v>148</v>
      </c>
      <c r="AD79" s="94" t="s">
        <v>212</v>
      </c>
      <c r="AE79" s="99" t="s">
        <v>166</v>
      </c>
      <c r="AF79" s="115">
        <v>213.13333333333333</v>
      </c>
      <c r="AG79" s="2"/>
    </row>
    <row r="80" spans="1:33" ht="14.4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96"/>
      <c r="AB80" s="95"/>
      <c r="AC80" s="70" t="s">
        <v>157</v>
      </c>
      <c r="AD80" s="94" t="s">
        <v>88</v>
      </c>
      <c r="AE80" s="99" t="s">
        <v>167</v>
      </c>
      <c r="AF80" s="115">
        <v>164.66666666666666</v>
      </c>
      <c r="AG80" s="2"/>
    </row>
    <row r="81" spans="1:33" ht="14.4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96"/>
      <c r="AB81" s="95"/>
      <c r="AC81" s="70" t="s">
        <v>158</v>
      </c>
      <c r="AD81" s="94" t="s">
        <v>213</v>
      </c>
      <c r="AE81" s="99" t="s">
        <v>166</v>
      </c>
      <c r="AF81" s="115">
        <v>433.66666666666669</v>
      </c>
      <c r="AG81" s="2"/>
    </row>
    <row r="82" spans="1:33" ht="14.4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96"/>
      <c r="AB82" s="95"/>
      <c r="AC82" s="70" t="s">
        <v>159</v>
      </c>
      <c r="AD82" s="94" t="s">
        <v>214</v>
      </c>
      <c r="AE82" s="99" t="s">
        <v>166</v>
      </c>
      <c r="AF82" s="115">
        <v>470.9</v>
      </c>
      <c r="AG82" s="2"/>
    </row>
    <row r="83" spans="1:33" ht="14.4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96"/>
      <c r="AB83" s="95"/>
      <c r="AC83" s="70" t="s">
        <v>160</v>
      </c>
      <c r="AD83" s="94" t="s">
        <v>215</v>
      </c>
      <c r="AE83" s="99" t="s">
        <v>166</v>
      </c>
      <c r="AF83" s="115">
        <v>470.66666666666669</v>
      </c>
      <c r="AG83" s="2"/>
    </row>
    <row r="84" spans="1:33" ht="14.4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96"/>
      <c r="AB84" s="95"/>
      <c r="AC84" s="70" t="s">
        <v>161</v>
      </c>
      <c r="AD84" s="94" t="s">
        <v>216</v>
      </c>
      <c r="AE84" s="99" t="s">
        <v>166</v>
      </c>
      <c r="AF84" s="115">
        <v>536.86666666666667</v>
      </c>
      <c r="AG84" s="2"/>
    </row>
    <row r="85" spans="1:33" ht="14.4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96"/>
      <c r="AB85" s="95"/>
      <c r="AC85" s="70" t="s">
        <v>162</v>
      </c>
      <c r="AD85" s="94" t="s">
        <v>217</v>
      </c>
      <c r="AE85" s="99" t="s">
        <v>166</v>
      </c>
      <c r="AF85" s="115">
        <v>1178</v>
      </c>
      <c r="AG85" s="2"/>
    </row>
    <row r="86" spans="1:33" ht="14.4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96"/>
      <c r="AB86" s="95"/>
      <c r="AC86" s="70" t="s">
        <v>163</v>
      </c>
      <c r="AD86" s="94" t="s">
        <v>89</v>
      </c>
      <c r="AE86" s="99" t="s">
        <v>166</v>
      </c>
      <c r="AF86" s="115">
        <v>1499.5666666666666</v>
      </c>
      <c r="AG86" s="2"/>
    </row>
    <row r="87" spans="1:33" ht="14.4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96"/>
      <c r="AB87" s="95"/>
      <c r="AC87" s="70" t="s">
        <v>164</v>
      </c>
      <c r="AD87" s="94" t="s">
        <v>218</v>
      </c>
      <c r="AE87" s="99" t="s">
        <v>166</v>
      </c>
      <c r="AF87" s="115">
        <v>212</v>
      </c>
      <c r="AG87" s="2"/>
    </row>
    <row r="88" spans="1:33" ht="14.4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96"/>
      <c r="AB88" s="95"/>
      <c r="AC88" s="70" t="s">
        <v>165</v>
      </c>
      <c r="AD88" s="94" t="s">
        <v>219</v>
      </c>
      <c r="AE88" s="99" t="s">
        <v>166</v>
      </c>
      <c r="AF88" s="115">
        <v>349.7</v>
      </c>
      <c r="AG88" s="2"/>
    </row>
    <row r="89" spans="1:33" ht="14.4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96"/>
      <c r="AB89" s="95"/>
      <c r="AG89" s="2"/>
    </row>
    <row r="90" spans="1:33" ht="14.4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96"/>
      <c r="AB90" s="95"/>
      <c r="AG90" s="2"/>
    </row>
    <row r="91" spans="1:33" ht="14.4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96"/>
      <c r="AB91" s="95"/>
      <c r="AG91" s="2"/>
    </row>
    <row r="92" spans="1:33" ht="14.4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92"/>
      <c r="AB92" s="93"/>
      <c r="AG92" s="2"/>
    </row>
    <row r="93" spans="1:33" ht="14.4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92"/>
      <c r="AB93" s="93"/>
      <c r="AG93" s="2"/>
    </row>
    <row r="94" spans="1:33" ht="14.4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92"/>
      <c r="AB94" s="93"/>
      <c r="AG94" s="2"/>
    </row>
    <row r="95" spans="1:33" ht="14.4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92"/>
      <c r="AB95" s="93"/>
      <c r="AC95" s="68"/>
      <c r="AD95" s="47"/>
      <c r="AE95" s="47"/>
      <c r="AF95" s="69"/>
      <c r="AG95" s="2"/>
    </row>
    <row r="96" spans="1:33" ht="14.4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92"/>
      <c r="AB96" s="93"/>
      <c r="AC96" s="68"/>
      <c r="AD96" s="47"/>
      <c r="AE96" s="47"/>
      <c r="AF96" s="69"/>
      <c r="AG96" s="2"/>
    </row>
    <row r="97" spans="1:33" ht="14.4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92"/>
      <c r="AB97" s="93"/>
      <c r="AC97" s="68"/>
      <c r="AD97" s="47"/>
      <c r="AE97" s="47"/>
      <c r="AF97" s="69"/>
      <c r="AG97" s="2"/>
    </row>
    <row r="98" spans="1:33" ht="14.4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92"/>
      <c r="AB98" s="93"/>
      <c r="AC98" s="68"/>
      <c r="AD98" s="47"/>
      <c r="AE98" s="47"/>
      <c r="AF98" s="69"/>
    </row>
    <row r="99" spans="1:33" ht="14.4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91"/>
      <c r="AB99" s="90"/>
      <c r="AC99" s="68"/>
      <c r="AD99" s="47"/>
      <c r="AE99" s="47"/>
      <c r="AF99" s="69"/>
    </row>
    <row r="100" spans="1:33" ht="14.4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91"/>
      <c r="AB100" s="90"/>
      <c r="AC100" s="68"/>
      <c r="AD100" s="47"/>
      <c r="AE100" s="47"/>
      <c r="AF100" s="69"/>
    </row>
    <row r="101" spans="1:33" ht="14.4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91"/>
      <c r="AB101" s="90"/>
      <c r="AC101" s="68"/>
      <c r="AD101" s="47"/>
      <c r="AE101" s="47"/>
      <c r="AF101" s="69"/>
    </row>
    <row r="102" spans="1:33" ht="14.4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91"/>
      <c r="AB102" s="90"/>
      <c r="AC102" s="68"/>
      <c r="AD102" s="47"/>
      <c r="AE102" s="47"/>
      <c r="AF102" s="69"/>
    </row>
    <row r="103" spans="1:33" ht="14.4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91"/>
      <c r="AB103" s="90"/>
      <c r="AC103" s="68"/>
      <c r="AD103" s="47"/>
      <c r="AE103" s="47"/>
      <c r="AF103" s="49"/>
    </row>
    <row r="104" spans="1:33" ht="14.4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91"/>
      <c r="AB104" s="90"/>
      <c r="AC104" s="68"/>
      <c r="AD104" s="47"/>
      <c r="AE104" s="47"/>
      <c r="AF104" s="49"/>
    </row>
    <row r="105" spans="1:33" ht="14.4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91"/>
      <c r="AB105" s="90"/>
      <c r="AC105" s="68"/>
      <c r="AD105" s="47"/>
      <c r="AE105" s="47"/>
      <c r="AF105" s="69"/>
    </row>
    <row r="106" spans="1:33" ht="14.4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91"/>
      <c r="AB106" s="90"/>
      <c r="AC106" s="68"/>
      <c r="AD106" s="47"/>
      <c r="AE106" s="47"/>
      <c r="AF106" s="69"/>
    </row>
    <row r="107" spans="1:33" ht="14.4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91"/>
      <c r="AB107" s="90"/>
      <c r="AC107" s="68"/>
      <c r="AD107" s="47"/>
      <c r="AE107" s="47"/>
      <c r="AF107" s="69"/>
    </row>
    <row r="108" spans="1:33" ht="14.4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8"/>
      <c r="AD108" s="47"/>
      <c r="AE108" s="47"/>
      <c r="AF108" s="49"/>
    </row>
    <row r="109" spans="1:33" ht="14.4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8"/>
      <c r="AD109" s="47"/>
      <c r="AE109" s="47"/>
      <c r="AF109" s="49"/>
    </row>
    <row r="110" spans="1:33" ht="14.4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8"/>
      <c r="AD110" s="47"/>
      <c r="AE110" s="47"/>
      <c r="AF110" s="49"/>
    </row>
    <row r="111" spans="1:33" ht="14.4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8"/>
      <c r="AD111" s="47"/>
      <c r="AE111" s="47"/>
      <c r="AF111" s="49"/>
    </row>
    <row r="112" spans="1:33" ht="14.4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8"/>
      <c r="AD112" s="47"/>
      <c r="AE112" s="47"/>
      <c r="AF112" s="49"/>
    </row>
    <row r="113" spans="1:32" ht="14.4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8"/>
      <c r="AD113" s="47"/>
      <c r="AE113" s="47"/>
      <c r="AF113" s="49"/>
    </row>
    <row r="114" spans="1:32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8"/>
      <c r="AD114" s="47"/>
      <c r="AE114" s="47"/>
      <c r="AF114" s="71"/>
    </row>
    <row r="115" spans="1:32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8"/>
      <c r="AD115" s="47"/>
      <c r="AE115" s="47"/>
      <c r="AF115" s="71"/>
    </row>
    <row r="116" spans="1:32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8"/>
      <c r="AD116" s="47"/>
      <c r="AE116" s="47"/>
      <c r="AF116" s="71"/>
    </row>
    <row r="117" spans="1:32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8"/>
      <c r="AD117" s="47"/>
      <c r="AE117" s="47"/>
      <c r="AF117" s="71"/>
    </row>
    <row r="118" spans="1:32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8"/>
      <c r="AD118" s="47"/>
      <c r="AE118" s="47"/>
      <c r="AF118" s="71"/>
    </row>
    <row r="119" spans="1:32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8"/>
      <c r="AD119" s="47"/>
      <c r="AE119" s="47"/>
      <c r="AF119" s="71"/>
    </row>
    <row r="120" spans="1:32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8"/>
      <c r="AD120" s="47"/>
      <c r="AE120" s="47"/>
      <c r="AF120" s="71"/>
    </row>
    <row r="121" spans="1:32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8"/>
      <c r="AD121" s="47"/>
      <c r="AE121" s="47"/>
      <c r="AF121" s="71"/>
    </row>
    <row r="122" spans="1:32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8"/>
      <c r="AD122" s="47"/>
      <c r="AE122" s="47"/>
      <c r="AF122" s="71"/>
    </row>
    <row r="123" spans="1:32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8"/>
      <c r="AD123" s="47"/>
      <c r="AE123" s="47"/>
      <c r="AF123" s="71"/>
    </row>
    <row r="124" spans="1:32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8"/>
      <c r="AD124" s="47"/>
      <c r="AE124" s="47"/>
      <c r="AF124" s="71"/>
    </row>
    <row r="125" spans="1:32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39"/>
      <c r="AD125" s="40"/>
      <c r="AE125" s="7"/>
      <c r="AF125" s="16"/>
    </row>
    <row r="126" spans="1:32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39"/>
      <c r="AD126" s="40"/>
      <c r="AE126" s="41"/>
      <c r="AF126" s="16"/>
    </row>
    <row r="127" spans="1:32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16"/>
    </row>
    <row r="128" spans="1:32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16"/>
    </row>
    <row r="129" spans="1:32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16"/>
    </row>
    <row r="130" spans="1:32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16"/>
    </row>
    <row r="131" spans="1:32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16"/>
    </row>
    <row r="132" spans="1:32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16"/>
    </row>
    <row r="133" spans="1:32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16"/>
    </row>
    <row r="134" spans="1:32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16"/>
    </row>
    <row r="135" spans="1:32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16"/>
    </row>
    <row r="136" spans="1:32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16"/>
    </row>
    <row r="137" spans="1:32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16"/>
    </row>
    <row r="138" spans="1:32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16"/>
    </row>
    <row r="139" spans="1:32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16"/>
    </row>
    <row r="140" spans="1:32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16"/>
    </row>
    <row r="141" spans="1:32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16"/>
    </row>
    <row r="142" spans="1:32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16"/>
    </row>
    <row r="143" spans="1:32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16"/>
    </row>
    <row r="144" spans="1:32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16"/>
    </row>
    <row r="145" spans="1:32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16"/>
    </row>
    <row r="146" spans="1:32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16"/>
    </row>
    <row r="147" spans="1:32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16"/>
    </row>
    <row r="148" spans="1:32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16"/>
    </row>
    <row r="149" spans="1:32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16"/>
    </row>
    <row r="150" spans="1:32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16"/>
    </row>
    <row r="151" spans="1:32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16"/>
    </row>
    <row r="152" spans="1:32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16"/>
    </row>
    <row r="153" spans="1:32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16"/>
    </row>
    <row r="154" spans="1:32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16"/>
    </row>
    <row r="155" spans="1:32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16"/>
    </row>
    <row r="156" spans="1:32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16"/>
    </row>
    <row r="157" spans="1:32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16"/>
    </row>
    <row r="158" spans="1:32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16"/>
    </row>
    <row r="159" spans="1:32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16"/>
    </row>
    <row r="160" spans="1:32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16"/>
    </row>
    <row r="161" spans="1:32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16"/>
    </row>
    <row r="162" spans="1:32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16"/>
    </row>
    <row r="163" spans="1:32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16"/>
    </row>
    <row r="164" spans="1:32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16"/>
    </row>
    <row r="165" spans="1:32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16"/>
    </row>
    <row r="166" spans="1:32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16"/>
    </row>
    <row r="167" spans="1:32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16"/>
    </row>
    <row r="168" spans="1:32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16"/>
    </row>
    <row r="169" spans="1:32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16"/>
    </row>
    <row r="170" spans="1:32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16"/>
    </row>
    <row r="171" spans="1:32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16"/>
    </row>
    <row r="172" spans="1:32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16"/>
    </row>
    <row r="173" spans="1:32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16"/>
    </row>
    <row r="174" spans="1:32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16"/>
    </row>
    <row r="175" spans="1:32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16"/>
    </row>
    <row r="176" spans="1:32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16"/>
    </row>
    <row r="177" spans="1:32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16"/>
    </row>
    <row r="178" spans="1:32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16"/>
    </row>
    <row r="179" spans="1:32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16"/>
    </row>
    <row r="180" spans="1:32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16"/>
    </row>
    <row r="181" spans="1:32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16"/>
    </row>
    <row r="182" spans="1:32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16"/>
    </row>
    <row r="183" spans="1:32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16"/>
    </row>
    <row r="184" spans="1:32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16"/>
    </row>
    <row r="185" spans="1:32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16"/>
    </row>
    <row r="186" spans="1:32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16"/>
    </row>
    <row r="187" spans="1:32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16"/>
    </row>
    <row r="188" spans="1:32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16"/>
    </row>
    <row r="189" spans="1:32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16"/>
    </row>
    <row r="190" spans="1:32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16"/>
    </row>
    <row r="191" spans="1:32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16"/>
    </row>
    <row r="192" spans="1:32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16"/>
    </row>
    <row r="193" spans="1:32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16"/>
    </row>
    <row r="194" spans="1:32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16"/>
    </row>
    <row r="195" spans="1:32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16"/>
    </row>
    <row r="196" spans="1:32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16"/>
    </row>
    <row r="197" spans="1:32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16"/>
    </row>
    <row r="198" spans="1:32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16"/>
    </row>
    <row r="199" spans="1:32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16"/>
    </row>
    <row r="200" spans="1:32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16"/>
    </row>
    <row r="201" spans="1:32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16"/>
    </row>
    <row r="202" spans="1:32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16"/>
    </row>
    <row r="203" spans="1:32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16"/>
    </row>
    <row r="204" spans="1:32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16"/>
    </row>
    <row r="205" spans="1:32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16"/>
    </row>
    <row r="206" spans="1:32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16"/>
    </row>
    <row r="207" spans="1:32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16"/>
    </row>
    <row r="208" spans="1:32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16"/>
    </row>
    <row r="209" spans="1:32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16"/>
    </row>
    <row r="210" spans="1:32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16"/>
    </row>
    <row r="211" spans="1:32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16"/>
    </row>
    <row r="212" spans="1:32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16"/>
    </row>
    <row r="213" spans="1:32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16"/>
    </row>
    <row r="214" spans="1:32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16"/>
    </row>
    <row r="215" spans="1:32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16"/>
    </row>
    <row r="216" spans="1:32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16"/>
    </row>
    <row r="217" spans="1:32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16"/>
    </row>
    <row r="218" spans="1:32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32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32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32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32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32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32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x14ac:dyDescent="0.25">
      <c r="E231" s="6"/>
    </row>
  </sheetData>
  <mergeCells count="2">
    <mergeCell ref="H3:I3"/>
    <mergeCell ref="E3:F3"/>
  </mergeCells>
  <phoneticPr fontId="9" type="noConversion"/>
  <dataValidations count="3">
    <dataValidation type="list" allowBlank="1" showInputMessage="1" showErrorMessage="1" sqref="B44" xr:uid="{00000000-0002-0000-0000-000000000000}">
      <formula1>$C$44:$C$47</formula1>
    </dataValidation>
    <dataValidation type="list" allowBlank="1" showInputMessage="1" showErrorMessage="1" promptTitle="College" prompt="Select College" sqref="E17" xr:uid="{00000000-0002-0000-0000-000001000000}">
      <formula1>$AD$9:$AD$88</formula1>
    </dataValidation>
    <dataValidation type="list" allowBlank="1" showInputMessage="1" showErrorMessage="1" sqref="F17:G17" xr:uid="{00000000-0002-0000-0000-000002000000}">
      <formula1>$AD$9:$AD$88</formula1>
    </dataValidation>
  </dataValidations>
  <pageMargins left="0.75" right="0.75" top="1" bottom="1" header="0.5" footer="0.5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3.2" x14ac:dyDescent="0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Ginny Dodds</dc:creator>
  <cp:lastModifiedBy>Shawn P. Reynolds</cp:lastModifiedBy>
  <cp:lastPrinted>2017-07-19T17:54:36Z</cp:lastPrinted>
  <dcterms:created xsi:type="dcterms:W3CDTF">2004-02-25T17:25:43Z</dcterms:created>
  <dcterms:modified xsi:type="dcterms:W3CDTF">2022-08-19T15:31:46Z</dcterms:modified>
</cp:coreProperties>
</file>